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Virtual Accreditation\"/>
    </mc:Choice>
  </mc:AlternateContent>
  <bookViews>
    <workbookView xWindow="480" yWindow="96" windowWidth="8532" windowHeight="8196" tabRatio="830"/>
  </bookViews>
  <sheets>
    <sheet name="Mandatory M" sheetId="2" r:id="rId1"/>
    <sheet name="Complementary (A &amp; B)" sheetId="1" r:id="rId2"/>
    <sheet name="Curriculum (Core) C-1" sheetId="3" r:id="rId3"/>
    <sheet name="Curriculum(Optional,Elective)C2" sheetId="4" r:id="rId4"/>
    <sheet name="Summary Section A &amp; B" sheetId="5" r:id="rId5"/>
    <sheet name="Results" sheetId="7" r:id="rId6"/>
  </sheets>
  <definedNames>
    <definedName name="_xlnm._FilterDatabase" localSheetId="1" hidden="1">'Complementary (A &amp; B)'!$A$5:$D$100</definedName>
    <definedName name="_xlnm._FilterDatabase" localSheetId="4" hidden="1">'Summary Section A &amp; B'!$A$4:$E$101</definedName>
    <definedName name="_xlnm.Print_Area" localSheetId="1">'Complementary (A &amp; B)'!$A$1:$D$111</definedName>
    <definedName name="_xlnm.Print_Area" localSheetId="5">Results!$A$1:$F$27</definedName>
    <definedName name="_xlnm.Print_Area" localSheetId="4">'Summary Section A &amp; B'!$A$1:$E$107</definedName>
  </definedNames>
  <calcPr calcId="152511"/>
</workbook>
</file>

<file path=xl/calcChain.xml><?xml version="1.0" encoding="utf-8"?>
<calcChain xmlns="http://schemas.openxmlformats.org/spreadsheetml/2006/main">
  <c r="F30" i="2" l="1"/>
  <c r="F31" i="2"/>
  <c r="F43" i="2" l="1"/>
  <c r="E43" i="2"/>
  <c r="F42" i="2"/>
  <c r="M10" i="3"/>
  <c r="D27" i="4"/>
  <c r="G11" i="3"/>
  <c r="D100" i="5"/>
  <c r="D99" i="5"/>
  <c r="D95" i="5"/>
  <c r="D94" i="5"/>
  <c r="D93" i="5"/>
  <c r="D92" i="5"/>
  <c r="D91" i="5"/>
  <c r="D90" i="5"/>
  <c r="D89" i="5"/>
  <c r="D87" i="5"/>
  <c r="D86" i="5"/>
  <c r="D85" i="5"/>
  <c r="D84" i="5"/>
  <c r="D83" i="5"/>
  <c r="D82" i="5"/>
  <c r="D80" i="5"/>
  <c r="D79" i="5"/>
  <c r="D78" i="5"/>
  <c r="D77" i="5"/>
  <c r="D76" i="5"/>
  <c r="D75" i="5"/>
  <c r="D74" i="5"/>
  <c r="D73" i="5"/>
  <c r="D71" i="5"/>
  <c r="D70" i="5"/>
  <c r="D69" i="5"/>
  <c r="D67" i="5"/>
  <c r="D66" i="5"/>
  <c r="D65" i="5"/>
  <c r="D64" i="5"/>
  <c r="D63" i="5"/>
  <c r="D60" i="5"/>
  <c r="D59" i="5"/>
  <c r="D58" i="5"/>
  <c r="D56" i="5"/>
  <c r="D55" i="5"/>
  <c r="D54" i="5"/>
  <c r="D53" i="5"/>
  <c r="D51" i="5"/>
  <c r="D50" i="5"/>
  <c r="D47" i="5"/>
  <c r="D46" i="5"/>
  <c r="D45" i="5"/>
  <c r="D44" i="5"/>
  <c r="D43" i="5"/>
  <c r="D41" i="5"/>
  <c r="D40" i="5"/>
  <c r="D39" i="5"/>
  <c r="D38" i="5"/>
  <c r="D37" i="5"/>
  <c r="D36" i="5"/>
  <c r="D34" i="5"/>
  <c r="D33" i="5"/>
  <c r="D32" i="5"/>
  <c r="D31" i="5"/>
  <c r="D30" i="5"/>
  <c r="D28" i="5"/>
  <c r="D26" i="5"/>
  <c r="D24" i="5"/>
  <c r="D23" i="5"/>
  <c r="D22" i="5"/>
  <c r="D21" i="5"/>
  <c r="D20" i="5"/>
  <c r="D19" i="5"/>
  <c r="D18" i="1"/>
  <c r="E18" i="5" s="1"/>
  <c r="D17" i="5"/>
  <c r="D16" i="1"/>
  <c r="E16" i="5" s="1"/>
  <c r="D15" i="5"/>
  <c r="D14" i="1"/>
  <c r="E14" i="5" s="1"/>
  <c r="D11" i="5"/>
  <c r="D9" i="1"/>
  <c r="E9" i="5" s="1"/>
  <c r="D8" i="5"/>
  <c r="D99" i="1"/>
  <c r="E100" i="5" s="1"/>
  <c r="D98" i="1"/>
  <c r="E99" i="5" s="1"/>
  <c r="D96" i="1"/>
  <c r="E97" i="5" s="1"/>
  <c r="D95" i="1"/>
  <c r="E96" i="5" s="1"/>
  <c r="D94" i="1"/>
  <c r="E95" i="5" s="1"/>
  <c r="D93" i="1"/>
  <c r="E94" i="5" s="1"/>
  <c r="D92" i="1"/>
  <c r="E93" i="5" s="1"/>
  <c r="D91" i="1"/>
  <c r="E92" i="5" s="1"/>
  <c r="D90" i="1"/>
  <c r="E91" i="5" s="1"/>
  <c r="D89" i="1"/>
  <c r="E90" i="5" s="1"/>
  <c r="D88" i="1"/>
  <c r="E89" i="5" s="1"/>
  <c r="D86" i="1"/>
  <c r="E87" i="5" s="1"/>
  <c r="D85" i="1"/>
  <c r="E86" i="5" s="1"/>
  <c r="D84" i="1"/>
  <c r="E85" i="5" s="1"/>
  <c r="D83" i="1"/>
  <c r="E84" i="5" s="1"/>
  <c r="D82" i="1"/>
  <c r="E83" i="5" s="1"/>
  <c r="D81" i="1"/>
  <c r="E82" i="5" s="1"/>
  <c r="D79" i="1"/>
  <c r="E80" i="5" s="1"/>
  <c r="D77" i="1"/>
  <c r="E78" i="5" s="1"/>
  <c r="D76" i="1"/>
  <c r="E77" i="5" s="1"/>
  <c r="D75" i="1"/>
  <c r="E76" i="5" s="1"/>
  <c r="D74" i="1"/>
  <c r="E75" i="5" s="1"/>
  <c r="D73" i="1"/>
  <c r="E74" i="5" s="1"/>
  <c r="D72" i="1"/>
  <c r="E73" i="5" s="1"/>
  <c r="D70" i="1"/>
  <c r="E71" i="5" s="1"/>
  <c r="D69" i="1"/>
  <c r="E70" i="5" s="1"/>
  <c r="D68" i="1"/>
  <c r="E69" i="5" s="1"/>
  <c r="D66" i="1"/>
  <c r="E67" i="5" s="1"/>
  <c r="D65" i="1"/>
  <c r="E66" i="5" s="1"/>
  <c r="D64" i="1"/>
  <c r="E65" i="5" s="1"/>
  <c r="D63" i="1"/>
  <c r="E64" i="5" s="1"/>
  <c r="D62" i="1"/>
  <c r="E63" i="5" s="1"/>
  <c r="D60" i="1"/>
  <c r="E60" i="5" s="1"/>
  <c r="D59" i="1"/>
  <c r="E59" i="5" s="1"/>
  <c r="D58" i="1"/>
  <c r="E58" i="5" s="1"/>
  <c r="D56" i="1"/>
  <c r="E56" i="5" s="1"/>
  <c r="D55" i="1"/>
  <c r="E55" i="5" s="1"/>
  <c r="D54" i="1"/>
  <c r="E54" i="5" s="1"/>
  <c r="D53" i="1"/>
  <c r="E53" i="5" s="1"/>
  <c r="D51" i="1"/>
  <c r="E51" i="5" s="1"/>
  <c r="D50" i="1"/>
  <c r="E50" i="5" s="1"/>
  <c r="D47" i="1"/>
  <c r="E47" i="5" s="1"/>
  <c r="D46" i="1"/>
  <c r="E46" i="5" s="1"/>
  <c r="D45" i="1"/>
  <c r="E45" i="5" s="1"/>
  <c r="D44" i="1"/>
  <c r="E44" i="5" s="1"/>
  <c r="D43" i="1"/>
  <c r="E43" i="5" s="1"/>
  <c r="D41" i="1"/>
  <c r="E41" i="5" s="1"/>
  <c r="D40" i="1"/>
  <c r="E40" i="5" s="1"/>
  <c r="D39" i="1"/>
  <c r="E39" i="5" s="1"/>
  <c r="D38" i="1"/>
  <c r="E38" i="5" s="1"/>
  <c r="D37" i="1"/>
  <c r="E37" i="5" s="1"/>
  <c r="D36" i="1"/>
  <c r="E36" i="5" s="1"/>
  <c r="D34" i="1"/>
  <c r="E34" i="5" s="1"/>
  <c r="D33" i="1"/>
  <c r="E33" i="5" s="1"/>
  <c r="D32" i="1"/>
  <c r="E32" i="5" s="1"/>
  <c r="D31" i="1"/>
  <c r="E31" i="5" s="1"/>
  <c r="D30" i="1"/>
  <c r="E30" i="5" s="1"/>
  <c r="D28" i="1"/>
  <c r="E28" i="5" s="1"/>
  <c r="D26" i="1"/>
  <c r="E26" i="5" s="1"/>
  <c r="D24" i="1"/>
  <c r="E24" i="5" s="1"/>
  <c r="D23" i="1"/>
  <c r="E23" i="5" s="1"/>
  <c r="D22" i="1"/>
  <c r="E22" i="5" s="1"/>
  <c r="D21" i="1"/>
  <c r="E21" i="5" s="1"/>
  <c r="D20" i="1"/>
  <c r="E20" i="5" s="1"/>
  <c r="D17" i="1"/>
  <c r="E17" i="5" s="1"/>
  <c r="D15" i="1"/>
  <c r="E15" i="5" s="1"/>
  <c r="D11" i="1"/>
  <c r="E11" i="5" s="1"/>
  <c r="D8" i="1"/>
  <c r="E8" i="5" s="1"/>
  <c r="D78" i="1" l="1"/>
  <c r="E79" i="5" s="1"/>
  <c r="C7" i="7"/>
  <c r="D100" i="1"/>
  <c r="E101" i="5" s="1"/>
  <c r="D7" i="1"/>
  <c r="E7" i="5" s="1"/>
  <c r="D7" i="5"/>
  <c r="D9" i="5"/>
  <c r="D14" i="5"/>
  <c r="D16" i="5"/>
  <c r="D18" i="5"/>
  <c r="D19" i="1"/>
  <c r="E19" i="5" s="1"/>
  <c r="D33" i="2"/>
  <c r="F33" i="2" s="1"/>
  <c r="D32" i="2"/>
  <c r="F32" i="2" s="1"/>
  <c r="E42" i="2"/>
  <c r="E44" i="2"/>
  <c r="E45" i="2"/>
  <c r="F40" i="2"/>
  <c r="F44" i="2"/>
  <c r="F45" i="2"/>
  <c r="F39" i="2"/>
  <c r="F36" i="2"/>
  <c r="F35" i="2"/>
  <c r="F17" i="2"/>
  <c r="F28" i="2"/>
  <c r="F27" i="2"/>
  <c r="F25" i="2"/>
  <c r="F24" i="2"/>
  <c r="F23" i="2"/>
  <c r="F16" i="2"/>
  <c r="F14" i="2"/>
  <c r="E14" i="2"/>
  <c r="F13" i="2"/>
  <c r="F12" i="2"/>
  <c r="F11" i="2"/>
  <c r="E13" i="2"/>
  <c r="E12" i="2"/>
  <c r="E11" i="2"/>
  <c r="F10" i="2"/>
  <c r="E10" i="2"/>
  <c r="Q10" i="3"/>
  <c r="Q9" i="3"/>
  <c r="Q8" i="3"/>
  <c r="Q7" i="3"/>
  <c r="Q6" i="3"/>
  <c r="Q5" i="3"/>
  <c r="M9" i="3"/>
  <c r="M8" i="3"/>
  <c r="M7" i="3"/>
  <c r="M6" i="3"/>
  <c r="M5" i="3"/>
  <c r="I10" i="3"/>
  <c r="I9" i="3"/>
  <c r="I8" i="3"/>
  <c r="I7" i="3"/>
  <c r="I6" i="3"/>
  <c r="I5" i="3"/>
  <c r="E6" i="3"/>
  <c r="E7" i="3"/>
  <c r="E8" i="3"/>
  <c r="E9" i="3"/>
  <c r="E10" i="3"/>
  <c r="H28" i="4"/>
  <c r="H27" i="4"/>
  <c r="H26" i="4"/>
  <c r="H25" i="4"/>
  <c r="H24" i="4"/>
  <c r="H23" i="4"/>
  <c r="H22" i="4"/>
  <c r="H21" i="4"/>
  <c r="H20" i="4"/>
  <c r="H19" i="4"/>
  <c r="H18" i="4"/>
  <c r="H17" i="4"/>
  <c r="H16" i="4"/>
  <c r="H15" i="4"/>
  <c r="H14" i="4"/>
  <c r="H13" i="4"/>
  <c r="H12" i="4"/>
  <c r="H11" i="4"/>
  <c r="H10" i="4"/>
  <c r="H9" i="4"/>
  <c r="H8" i="4"/>
  <c r="H7" i="4"/>
  <c r="H6" i="4"/>
  <c r="H5" i="4"/>
  <c r="H4" i="4"/>
  <c r="D28" i="4"/>
  <c r="D26" i="4"/>
  <c r="D25" i="4"/>
  <c r="D24" i="4"/>
  <c r="D23" i="4"/>
  <c r="D22" i="4"/>
  <c r="D21" i="4"/>
  <c r="D20" i="4"/>
  <c r="D19" i="4"/>
  <c r="D18" i="4"/>
  <c r="D17" i="4"/>
  <c r="D16" i="4"/>
  <c r="D15" i="4"/>
  <c r="D14" i="4"/>
  <c r="D13" i="4"/>
  <c r="D12" i="4"/>
  <c r="D11" i="4"/>
  <c r="D10" i="4"/>
  <c r="D9" i="4"/>
  <c r="D8" i="4"/>
  <c r="D7" i="4"/>
  <c r="D6" i="4"/>
  <c r="D4" i="4"/>
  <c r="P11" i="3"/>
  <c r="L11" i="3"/>
  <c r="H11" i="3"/>
  <c r="D11" i="3"/>
  <c r="O11" i="3"/>
  <c r="K11" i="3"/>
  <c r="C11" i="3"/>
  <c r="C6" i="7" l="1"/>
  <c r="C105" i="5"/>
  <c r="D7" i="7" s="1"/>
  <c r="C104" i="5"/>
  <c r="F21" i="2"/>
  <c r="F20" i="2"/>
  <c r="F19" i="2"/>
  <c r="F18" i="2"/>
  <c r="E16" i="2"/>
  <c r="J12" i="3"/>
  <c r="C8" i="7" s="1"/>
  <c r="D8" i="7" s="1"/>
  <c r="D29" i="4"/>
  <c r="C9" i="7" s="1"/>
  <c r="D9" i="7" s="1"/>
  <c r="D6" i="7" l="1"/>
  <c r="E6" i="7"/>
  <c r="D105" i="5"/>
  <c r="C47" i="2"/>
  <c r="B5" i="7" s="1"/>
  <c r="C106" i="5"/>
  <c r="D106" i="5" s="1"/>
  <c r="D104" i="5"/>
  <c r="E104" i="5"/>
  <c r="E29" i="4"/>
  <c r="E9" i="7" s="1"/>
  <c r="K12" i="3"/>
  <c r="E8" i="7" s="1"/>
  <c r="E105" i="5" l="1"/>
  <c r="E106" i="5" s="1"/>
  <c r="E7" i="7"/>
  <c r="D47" i="2"/>
  <c r="E47" i="2" s="1"/>
  <c r="F47" i="2" s="1"/>
  <c r="C5" i="7" l="1"/>
  <c r="D5" i="7"/>
  <c r="E5" i="7" l="1"/>
  <c r="C10" i="7" s="1"/>
</calcChain>
</file>

<file path=xl/sharedStrings.xml><?xml version="1.0" encoding="utf-8"?>
<sst xmlns="http://schemas.openxmlformats.org/spreadsheetml/2006/main" count="480" uniqueCount="412">
  <si>
    <t>S.No.</t>
  </si>
  <si>
    <t>MANAGEMENT &amp; INFRASTRUCTURE OF THE INSTITUTION [25]</t>
  </si>
  <si>
    <t>FACULTY [250]</t>
  </si>
  <si>
    <t xml:space="preserve">3.1.1 </t>
  </si>
  <si>
    <t>3.1.2</t>
  </si>
  <si>
    <t>3.1.3</t>
  </si>
  <si>
    <t>3.1.4</t>
  </si>
  <si>
    <t>3.1.5</t>
  </si>
  <si>
    <t>3.1.6</t>
  </si>
  <si>
    <t>3.1.7</t>
  </si>
  <si>
    <t>3.1.8</t>
  </si>
  <si>
    <t>3.1.9</t>
  </si>
  <si>
    <t>3.1.10</t>
  </si>
  <si>
    <t>3.1.11</t>
  </si>
  <si>
    <t>CURRICULUM</t>
  </si>
  <si>
    <t>4.2.1</t>
  </si>
  <si>
    <t>4.3.1</t>
  </si>
  <si>
    <t>4.3.2</t>
  </si>
  <si>
    <t>7.1.1</t>
  </si>
  <si>
    <t>7.1.2</t>
  </si>
  <si>
    <t>7.2.1</t>
  </si>
  <si>
    <t>7.2.2</t>
  </si>
  <si>
    <t>STUDENTS [60]</t>
  </si>
  <si>
    <t xml:space="preserve">ACADEMIC BUILDINGS AND OTHER ALLIED  FACILITIES [40]
</t>
  </si>
  <si>
    <t>CLASS SIZE [20]</t>
  </si>
  <si>
    <t>QUALITY OF PRODUCT [90]</t>
  </si>
  <si>
    <t>INDUSTRIAL LINKAGE [30]</t>
  </si>
  <si>
    <t>Score</t>
  </si>
  <si>
    <t>Score Interpretation</t>
  </si>
  <si>
    <t>Complementary Questions Pertaining to Quality and Quantity to Match PCATP Required Standards</t>
  </si>
  <si>
    <t>M1</t>
  </si>
  <si>
    <t>Observation</t>
  </si>
  <si>
    <t>Studios</t>
  </si>
  <si>
    <t>M1-1</t>
  </si>
  <si>
    <t>M1-2</t>
  </si>
  <si>
    <t>M1-3</t>
  </si>
  <si>
    <t>M1-4</t>
  </si>
  <si>
    <t>M1-5</t>
  </si>
  <si>
    <t>Students</t>
  </si>
  <si>
    <t>Results</t>
  </si>
  <si>
    <t>Teachers</t>
  </si>
  <si>
    <t>M2</t>
  </si>
  <si>
    <t>M2-1</t>
  </si>
  <si>
    <t>M2-2</t>
  </si>
  <si>
    <t>M2-3</t>
  </si>
  <si>
    <t>M2-4</t>
  </si>
  <si>
    <t>M2-5</t>
  </si>
  <si>
    <t>M2-6</t>
  </si>
  <si>
    <t>M3</t>
  </si>
  <si>
    <t>M3-1</t>
  </si>
  <si>
    <t>M3-2</t>
  </si>
  <si>
    <t>M3-3</t>
  </si>
  <si>
    <t>Students In Each Semester</t>
  </si>
  <si>
    <t>Studios For Each Semester</t>
  </si>
  <si>
    <t>Computer Lab For Students</t>
  </si>
  <si>
    <t>Accommodation w.r.t. No. of Students</t>
  </si>
  <si>
    <t>Availability</t>
  </si>
  <si>
    <t>M4</t>
  </si>
  <si>
    <t>Library</t>
  </si>
  <si>
    <t>M4-1</t>
  </si>
  <si>
    <t>M4-2</t>
  </si>
  <si>
    <t>No. of Related Books Volumes / Periodicals</t>
  </si>
  <si>
    <t>No. of Other Books Volumes</t>
  </si>
  <si>
    <t>M5</t>
  </si>
  <si>
    <t>Lecture Halls</t>
  </si>
  <si>
    <t>M5-1</t>
  </si>
  <si>
    <t>M5-2</t>
  </si>
  <si>
    <t>M5-3</t>
  </si>
  <si>
    <t>Area</t>
  </si>
  <si>
    <t>M6</t>
  </si>
  <si>
    <t>Model Making Workshop (For Architecture Program Only)</t>
  </si>
  <si>
    <t>M6-1</t>
  </si>
  <si>
    <t>M6-2</t>
  </si>
  <si>
    <t>No. of Students</t>
  </si>
  <si>
    <t>Infrastructure</t>
  </si>
  <si>
    <t>Resources</t>
  </si>
  <si>
    <t>M7</t>
  </si>
  <si>
    <t>Faculty</t>
  </si>
  <si>
    <t>M7-1</t>
  </si>
  <si>
    <t>M7-2</t>
  </si>
  <si>
    <t>M7-3</t>
  </si>
  <si>
    <t>No. Of Full Time Faculty (2 Shared FT Faculty = 1 Full Time Faculty)</t>
  </si>
  <si>
    <t>Total No. Of Associate Professors</t>
  </si>
  <si>
    <t>Total No. Of Assistant Professors</t>
  </si>
  <si>
    <t>Total No. Of Lecturers</t>
  </si>
  <si>
    <t>No. Of Visiting Faculty of Dept.</t>
  </si>
  <si>
    <t>Total No. Of Professors</t>
  </si>
  <si>
    <t>COURSE STATUS</t>
  </si>
  <si>
    <t>KNOWLEDGE AREAS</t>
  </si>
  <si>
    <r>
      <rPr>
        <b/>
        <sz val="10"/>
        <rFont val="Calibri"/>
        <family val="2"/>
        <scheme val="minor"/>
      </rPr>
      <t>CORE COURSES</t>
    </r>
    <r>
      <rPr>
        <sz val="10"/>
        <rFont val="Calibri"/>
        <family val="2"/>
        <scheme val="minor"/>
      </rPr>
      <t xml:space="preserve">
</t>
    </r>
    <r>
      <rPr>
        <b/>
        <sz val="10"/>
        <rFont val="Calibri"/>
        <family val="2"/>
        <scheme val="minor"/>
      </rPr>
      <t>Guidelines:</t>
    </r>
    <r>
      <rPr>
        <sz val="10"/>
        <rFont val="Calibri"/>
        <family val="2"/>
        <scheme val="minor"/>
      </rPr>
      <t xml:space="preserve">
</t>
    </r>
    <r>
      <rPr>
        <b/>
        <sz val="10"/>
        <rFont val="Calibri"/>
        <family val="2"/>
        <scheme val="minor"/>
      </rPr>
      <t>Total Cr. Hrs. required for Graduation:</t>
    </r>
    <r>
      <rPr>
        <sz val="10"/>
        <rFont val="Calibri"/>
        <family val="2"/>
        <scheme val="minor"/>
      </rPr>
      <t xml:space="preserve"> </t>
    </r>
    <r>
      <rPr>
        <b/>
        <sz val="10"/>
        <rFont val="Calibri"/>
        <family val="2"/>
        <scheme val="minor"/>
      </rPr>
      <t>170 - 180 Cr. Hrs</t>
    </r>
    <r>
      <rPr>
        <sz val="10"/>
        <rFont val="Calibri"/>
        <family val="2"/>
        <scheme val="minor"/>
      </rPr>
      <t xml:space="preserve">
</t>
    </r>
    <r>
      <rPr>
        <b/>
        <sz val="10"/>
        <rFont val="Calibri"/>
        <family val="2"/>
        <scheme val="minor"/>
      </rPr>
      <t>Semester Load: 17-18 Cr. Hrs.</t>
    </r>
  </si>
  <si>
    <t>A
STUDIOS / WORKSHOPS
Project Based Learning Augmented by Focused Lectures / Seminars</t>
  </si>
  <si>
    <t>B
ALLIED SCIENCES AND TECHNOLOGIES
Lecture / Practice Based Learning</t>
  </si>
  <si>
    <t>C
HISTORY, THEORY AND CRITICAL ANALYSIS
Lecture I Seminar Based Learning</t>
  </si>
  <si>
    <t>D
PROFESSION AL PRACTICE AND COMMUNICAT ION TOOLS
Lecture I Practice Based Learning</t>
  </si>
  <si>
    <t>Architecture Studio</t>
  </si>
  <si>
    <t>Materials and Construction</t>
  </si>
  <si>
    <t>History of Architecture</t>
  </si>
  <si>
    <t>Focus Studio</t>
  </si>
  <si>
    <t>Energy and Environment</t>
  </si>
  <si>
    <t>Theory of Architecture</t>
  </si>
  <si>
    <t>Digital Tools for Architects</t>
  </si>
  <si>
    <t>Thesis</t>
  </si>
  <si>
    <t>Structures for Architects</t>
  </si>
  <si>
    <t>Architecture in Pakistan</t>
  </si>
  <si>
    <t>Architectural Research Methods</t>
  </si>
  <si>
    <t>Building Services and Systems</t>
  </si>
  <si>
    <t>Urban Design I Urban Planning</t>
  </si>
  <si>
    <t>Professional Practice</t>
  </si>
  <si>
    <t>Pakistan Studies</t>
  </si>
  <si>
    <t>Technical English and Creative Writing</t>
  </si>
  <si>
    <t>Islamic Studies</t>
  </si>
  <si>
    <t>• Required offerings by all Institutions
• Can be offered either as independent course or In combination
• Nomenclature can vary provided course contents are covered</t>
  </si>
  <si>
    <t>Cr. Hrs.
Offered</t>
  </si>
  <si>
    <t>Cr. Hrs.
Variance</t>
  </si>
  <si>
    <t>Total</t>
  </si>
  <si>
    <t>Cr. Hrs.
Advised By HEC</t>
  </si>
  <si>
    <t>Space and Power</t>
  </si>
  <si>
    <t>Popular Culture</t>
  </si>
  <si>
    <t>Cultural Heritage</t>
  </si>
  <si>
    <t>Conservation Techniques</t>
  </si>
  <si>
    <t>Aesthetics and Appreciation</t>
  </si>
  <si>
    <t>Fine Arts</t>
  </si>
  <si>
    <t>Architectonics</t>
  </si>
  <si>
    <t>Geometry and Proportions</t>
  </si>
  <si>
    <t>Mathematics For Architects</t>
  </si>
  <si>
    <t>Bio-Mimicry</t>
  </si>
  <si>
    <t>Advanced Computer Applications For Architects</t>
  </si>
  <si>
    <t>Digital Technologies and Design</t>
  </si>
  <si>
    <t>Advanced Architectural Presentation Techniques</t>
  </si>
  <si>
    <t>Building Crafts</t>
  </si>
  <si>
    <t>Calligraphic Arts</t>
  </si>
  <si>
    <t>Architectural Photography</t>
  </si>
  <si>
    <t>Urban Development</t>
  </si>
  <si>
    <t>Landscape Architecture</t>
  </si>
  <si>
    <t>Design For Special Users</t>
  </si>
  <si>
    <t>Disaster Risk Management</t>
  </si>
  <si>
    <t>Building Economics</t>
  </si>
  <si>
    <t>Urban Planning</t>
  </si>
  <si>
    <t>Human Settlement I Housing</t>
  </si>
  <si>
    <t>Landscape Design</t>
  </si>
  <si>
    <t>GIS For Architects</t>
  </si>
  <si>
    <t>Project Planning And Management</t>
  </si>
  <si>
    <t>Stage and Set Design</t>
  </si>
  <si>
    <t>Interior Architecture</t>
  </si>
  <si>
    <t>Space, Place &amp; Environment</t>
  </si>
  <si>
    <t>Environmental Psychology</t>
  </si>
  <si>
    <t>Vernacular Architecture of Indian Sub-Continent</t>
  </si>
  <si>
    <t>Sonic / Visual / OIfactory and other Scapes</t>
  </si>
  <si>
    <t>Talking (writing) Design</t>
  </si>
  <si>
    <t>Architectural Signage</t>
  </si>
  <si>
    <t>Model- Making For Architects</t>
  </si>
  <si>
    <t>Urban Design</t>
  </si>
  <si>
    <t>Participatory Design</t>
  </si>
  <si>
    <t>Indo-Islamic Gardens &amp; Landscapes</t>
  </si>
  <si>
    <t>Design For Disaster Risk</t>
  </si>
  <si>
    <t>Surveying and Levelling</t>
  </si>
  <si>
    <t>Specifications And Quantity Surveying</t>
  </si>
  <si>
    <t>Low Income Housing</t>
  </si>
  <si>
    <t>Environmental Impact Analysis</t>
  </si>
  <si>
    <t>Real Estate/ Facility Management</t>
  </si>
  <si>
    <t>Statistics for Architects</t>
  </si>
  <si>
    <t>Others-1</t>
  </si>
  <si>
    <t>Others-2</t>
  </si>
  <si>
    <t>Optionals / Electives Course
Or
Extension / Combination of Core Course Contents</t>
  </si>
  <si>
    <t>Status
( Y / N )</t>
  </si>
  <si>
    <t>S. No.</t>
  </si>
  <si>
    <t>CORE COURSES FRAMEWORK FOR BACHELOR IN ARCHITECTURE (5 YEAR) [142]</t>
  </si>
  <si>
    <t>SUPPLEMENTARY COURSES FRAMEWORK FOR BACHELOR IN ARCHITECTURE (5 YEAR) [38]</t>
  </si>
  <si>
    <t>Total Score Of Supplementary Courses Framework</t>
  </si>
  <si>
    <t>Total Score Of CORE COURSES FRAMEWORK</t>
  </si>
  <si>
    <t>Ratio</t>
  </si>
  <si>
    <t>Interpretation</t>
  </si>
  <si>
    <t>Total No. Of Studios w.r.t Total No. of Students</t>
  </si>
  <si>
    <t>ACADEMIC PROGRAM [100]
This aspect pertains to the academic program for the whole academic period leading to the award of a degree in Architecture / Town Planning.</t>
  </si>
  <si>
    <t>Date :</t>
  </si>
  <si>
    <t>University Name :</t>
  </si>
  <si>
    <r>
      <rPr>
        <b/>
        <sz val="14"/>
        <color theme="1"/>
        <rFont val="Calibri"/>
        <family val="2"/>
        <scheme val="minor"/>
      </rPr>
      <t xml:space="preserve">AUSPICES (05)
</t>
    </r>
    <r>
      <rPr>
        <sz val="14"/>
        <color theme="1"/>
        <rFont val="Calibri"/>
        <family val="2"/>
        <scheme val="minor"/>
      </rPr>
      <t xml:space="preserve">
This aspect pertains to the type of status (i.e. corporate, university, institute, affiliated college, constituent college or independent college).
* Status not defined            0
* Status vaguely defined    1 - 3
* Status clearly defined      4 - 5</t>
    </r>
  </si>
  <si>
    <r>
      <rPr>
        <b/>
        <sz val="14"/>
        <color theme="1"/>
        <rFont val="Calibri"/>
        <family val="2"/>
        <scheme val="minor"/>
      </rPr>
      <t>CONTROL (10)</t>
    </r>
    <r>
      <rPr>
        <sz val="14"/>
        <color theme="1"/>
        <rFont val="Calibri"/>
        <family val="2"/>
        <scheme val="minor"/>
      </rPr>
      <t xml:space="preserve">
This aspect pertains to academic and administrative powers given to essential organs mentioned above. </t>
    </r>
    <r>
      <rPr>
        <b/>
        <sz val="14"/>
        <color theme="1"/>
        <rFont val="Calibri"/>
        <family val="2"/>
        <scheme val="minor"/>
      </rPr>
      <t>The financial powers should be decentralized to the extent possible.</t>
    </r>
    <r>
      <rPr>
        <sz val="14"/>
        <color theme="1"/>
        <rFont val="Calibri"/>
        <family val="2"/>
        <scheme val="minor"/>
      </rPr>
      <t xml:space="preserve">
* Power not delineated                 0
* Power not clearly delineated    1 - 5
* Power clearly delineated           6 - 10</t>
    </r>
  </si>
  <si>
    <r>
      <rPr>
        <b/>
        <sz val="14"/>
        <color theme="1"/>
        <rFont val="Calibri"/>
        <family val="2"/>
        <scheme val="minor"/>
      </rPr>
      <t>SHARED FACULTY (15)</t>
    </r>
    <r>
      <rPr>
        <sz val="14"/>
        <color theme="1"/>
        <rFont val="Calibri"/>
        <family val="2"/>
        <scheme val="minor"/>
      </rPr>
      <t xml:space="preserve">
This aspect pertains to those faculty members who are serving in the same institution as a full-time faculty dedicated to some other programs and are being used to teach subjects relating to their disciplines of the under-review program. To ensure that each program develops independently, the maximum limit of shared faculty is 25% of the regular strength.
* More than allowed      0 - 5
* Allowed                           6 - 9
* Less than allowed      10 - 15</t>
    </r>
  </si>
  <si>
    <r>
      <rPr>
        <b/>
        <sz val="14"/>
        <color theme="1"/>
        <rFont val="Calibri"/>
        <family val="2"/>
        <scheme val="minor"/>
      </rPr>
      <t>FACULTY DEVELOPMENT AND CAREER PLANNING (30)</t>
    </r>
    <r>
      <rPr>
        <sz val="14"/>
        <color theme="1"/>
        <rFont val="Calibri"/>
        <family val="2"/>
        <scheme val="minor"/>
      </rPr>
      <t xml:space="preserve">
This aspect pertains to the improvement schemes of faculty qualification.
* No planning                 0
* Poor planning       1 - 12
* Well planned      13 - 30</t>
    </r>
  </si>
  <si>
    <r>
      <rPr>
        <b/>
        <sz val="14"/>
        <color theme="1"/>
        <rFont val="Calibri"/>
        <family val="2"/>
        <scheme val="minor"/>
      </rPr>
      <t>SALARIES AND BENEFITS (20)</t>
    </r>
    <r>
      <rPr>
        <sz val="14"/>
        <color theme="1"/>
        <rFont val="Calibri"/>
        <family val="2"/>
        <scheme val="minor"/>
      </rPr>
      <t xml:space="preserve">
This aspect pertains to the salaries and benefits of the teaching staff of the institution, which may be compared with other public/private institutions.
* Low                      0 - 2
* Reasonable        3 - 9
* Attractive       10 - 20</t>
    </r>
  </si>
  <si>
    <r>
      <rPr>
        <b/>
        <sz val="14"/>
        <color theme="1"/>
        <rFont val="Calibri"/>
        <family val="2"/>
        <scheme val="minor"/>
      </rPr>
      <t>PCATP REGISTRATION AND UPDATION (Qualifications etc) (10)</t>
    </r>
    <r>
      <rPr>
        <sz val="14"/>
        <color theme="1"/>
        <rFont val="Calibri"/>
        <family val="2"/>
        <scheme val="minor"/>
      </rPr>
      <t xml:space="preserve">
* Not registered with the PCATP             0
* Registered with the PCATP             1 - 10
(depending on %age - registered)</t>
    </r>
  </si>
  <si>
    <r>
      <rPr>
        <b/>
        <sz val="14"/>
        <color theme="1"/>
        <rFont val="Calibri"/>
        <family val="2"/>
        <scheme val="minor"/>
      </rPr>
      <t>TEACHING LOAD (20)</t>
    </r>
    <r>
      <rPr>
        <sz val="14"/>
        <color theme="1"/>
        <rFont val="Calibri"/>
        <family val="2"/>
        <scheme val="minor"/>
      </rPr>
      <t xml:space="preserve">
This aspect pertains to the number of credit-hours teaching per week, based on actual number of teachers present with single section teaching at a time both for annual and semester system of Instructions. The following guidelines for weekly credit-hours are given with an average load not exceeding 09 credit-hours per week. However, one credit hour for studio / lab work means three contact hours in the studio / lab in a semester system.
Professor                    :          9      (Any combination of teaching, research and
Associate Professor  : 9 – 12      admin duties but with maximum attention to research).
Assistant Professor  : 8 – 12     (With maximum focus on teaching, Worksho, Studio
Lecturer                     : 8 – 14     but some time for research and hand on experience). 
* Average load more than prescribed      (&gt;14)          0 - 5
* Average load manageable                       (12 - 14)    6 - 12
* Average load nearly as prescribed         (10)          13 - 20</t>
    </r>
  </si>
  <si>
    <r>
      <rPr>
        <b/>
        <sz val="14"/>
        <color theme="1"/>
        <rFont val="Calibri"/>
        <family val="2"/>
        <scheme val="minor"/>
      </rPr>
      <t>STUDENT-TEACHER RATIO (20)</t>
    </r>
    <r>
      <rPr>
        <sz val="14"/>
        <color theme="1"/>
        <rFont val="Calibri"/>
        <family val="2"/>
        <scheme val="minor"/>
      </rPr>
      <t xml:space="preserve">
This aspect pertains to the permissible student-teacher ratio which has been agreed as 15:1 for UG programs considering the core faculty only. On this basis, the actual number of required faculty may be worked out.
* Very high           0 - 3
* High                    4 - 9
* Appropriate   10 - 20</t>
    </r>
  </si>
  <si>
    <r>
      <rPr>
        <b/>
        <sz val="14"/>
        <color theme="1"/>
        <rFont val="Calibri"/>
        <family val="2"/>
        <scheme val="minor"/>
      </rPr>
      <t>OBJECTIVES (10)</t>
    </r>
    <r>
      <rPr>
        <sz val="14"/>
        <color theme="1"/>
        <rFont val="Calibri"/>
        <family val="2"/>
        <scheme val="minor"/>
      </rPr>
      <t xml:space="preserve">
* Not defined                 0  
* Vaguely defined    1 - 5
* Well defined         6 - 10</t>
    </r>
  </si>
  <si>
    <r>
      <rPr>
        <b/>
        <sz val="14"/>
        <color theme="1"/>
        <rFont val="Calibri"/>
        <family val="2"/>
        <scheme val="minor"/>
      </rPr>
      <t>TEXTBOOKS (10)</t>
    </r>
    <r>
      <rPr>
        <sz val="14"/>
        <color theme="1"/>
        <rFont val="Calibri"/>
        <family val="2"/>
        <scheme val="minor"/>
      </rPr>
      <t xml:space="preserve">
Prescribed textbooks, codes and design aids may be examined in the light of international practices.
* Sub - standard (older than 10 years)                 0 - 2  
* Acceptable     (5 to 10 years old)                        3 - 5  
* Highly recommended (New to 5 years old)   6 - 10</t>
    </r>
  </si>
  <si>
    <r>
      <rPr>
        <b/>
        <sz val="14"/>
        <color theme="1"/>
        <rFont val="Calibri"/>
        <family val="2"/>
        <scheme val="minor"/>
      </rPr>
      <t>CURRICULUM REVISION (10)</t>
    </r>
    <r>
      <rPr>
        <sz val="14"/>
        <color theme="1"/>
        <rFont val="Calibri"/>
        <family val="2"/>
        <scheme val="minor"/>
      </rPr>
      <t xml:space="preserve">
This aspect pertains to curriculum revision in the light of national, HEC and international requirements and on the demand of the industry.
* No revision                                                      0
* Revised occasionally                                1 - 4
* Revised regularly (every four years)   5 - 10</t>
    </r>
  </si>
  <si>
    <r>
      <rPr>
        <b/>
        <sz val="14"/>
        <color theme="1"/>
        <rFont val="Calibri"/>
        <family val="2"/>
        <scheme val="minor"/>
      </rPr>
      <t>EQUIPMENT UTILIZATION (20)</t>
    </r>
    <r>
      <rPr>
        <sz val="14"/>
        <color theme="1"/>
        <rFont val="Calibri"/>
        <family val="2"/>
        <scheme val="minor"/>
      </rPr>
      <t xml:space="preserve">
* Poorly utilized                    0 - 4
* Inadequately utilized     5 - 10
* Properly utilized            11 - 20</t>
    </r>
  </si>
  <si>
    <r>
      <rPr>
        <b/>
        <sz val="14"/>
        <color theme="1"/>
        <rFont val="Calibri"/>
        <family val="2"/>
        <scheme val="minor"/>
      </rPr>
      <t>AVAILABILITY OF COMPUTER LAB / WORKSHOP STAFF (10)</t>
    </r>
    <r>
      <rPr>
        <sz val="14"/>
        <color theme="1"/>
        <rFont val="Calibri"/>
        <family val="2"/>
        <scheme val="minor"/>
      </rPr>
      <t xml:space="preserve">
* Not available                                          0
* Available but not sufficient            1 - 5
* Available in sufficient number     6 - 10</t>
    </r>
  </si>
  <si>
    <r>
      <rPr>
        <b/>
        <sz val="14"/>
        <color theme="1"/>
        <rFont val="Calibri"/>
        <family val="2"/>
        <scheme val="minor"/>
      </rPr>
      <t>TECHNICAL COMPETENCY OF STAFF IN STUDIOS / COMPUTER LAB / WORKSHOP / MODEL MAKING &amp; BUILDING MATERIAL LABS (5)</t>
    </r>
    <r>
      <rPr>
        <sz val="14"/>
        <color theme="1"/>
        <rFont val="Calibri"/>
        <family val="2"/>
        <scheme val="minor"/>
      </rPr>
      <t xml:space="preserve">
* Poor                    0 - 2
* Good                  3 – 4
* Very Good                5</t>
    </r>
  </si>
  <si>
    <r>
      <rPr>
        <b/>
        <sz val="14"/>
        <color theme="1"/>
        <rFont val="Calibri"/>
        <family val="2"/>
        <scheme val="minor"/>
      </rPr>
      <t>ADEQUACY AND QUALITY OF ADMINISTRATIVE / SUPPORT STAFF (10)</t>
    </r>
    <r>
      <rPr>
        <sz val="14"/>
        <color theme="1"/>
        <rFont val="Calibri"/>
        <family val="2"/>
        <scheme val="minor"/>
      </rPr>
      <t xml:space="preserve">
* Poor                 0 - 2
* Good               3 – 4
* Very Good     5 – 7
* Excellent      8 – 10</t>
    </r>
  </si>
  <si>
    <r>
      <rPr>
        <b/>
        <sz val="14"/>
        <color theme="1"/>
        <rFont val="Calibri"/>
        <family val="2"/>
        <scheme val="minor"/>
      </rPr>
      <t>LIBRARY [100]</t>
    </r>
    <r>
      <rPr>
        <sz val="14"/>
        <color theme="1"/>
        <rFont val="Calibri"/>
        <family val="2"/>
        <scheme val="minor"/>
      </rPr>
      <t xml:space="preserve">
This aspect pertains to the collection and efficient and smooth running of main library considering related programs of the institution.</t>
    </r>
  </si>
  <si>
    <r>
      <rPr>
        <b/>
        <sz val="14"/>
        <color theme="1"/>
        <rFont val="Calibri"/>
        <family val="2"/>
        <scheme val="minor"/>
      </rPr>
      <t>BUDGET (30)</t>
    </r>
    <r>
      <rPr>
        <sz val="14"/>
        <color theme="1"/>
        <rFont val="Calibri"/>
        <family val="2"/>
        <scheme val="minor"/>
      </rPr>
      <t xml:space="preserve">
A minimum of Rs. 0.5 Million budget should be allocated to cater for: (a) addition of 100 new / latest books per year; (b) expenses of 3 journals and 3 magazines per program &amp; (c) maintenance / operational cost of the library.
* Inadequate                            0 - 7
* Adequate                             8 - 16
* More than adequate      17 - 30</t>
    </r>
  </si>
  <si>
    <r>
      <rPr>
        <b/>
        <sz val="14"/>
        <color theme="1"/>
        <rFont val="Calibri"/>
        <family val="2"/>
        <scheme val="minor"/>
      </rPr>
      <t>BOOK BANK (15)</t>
    </r>
    <r>
      <rPr>
        <sz val="14"/>
        <color theme="1"/>
        <rFont val="Calibri"/>
        <family val="2"/>
        <scheme val="minor"/>
      </rPr>
      <t xml:space="preserve">
This aspect pertains to the availability of </t>
    </r>
    <r>
      <rPr>
        <b/>
        <sz val="14"/>
        <color theme="1"/>
        <rFont val="Calibri"/>
        <family val="2"/>
        <scheme val="minor"/>
      </rPr>
      <t>Textbooks</t>
    </r>
    <r>
      <rPr>
        <sz val="14"/>
        <color theme="1"/>
        <rFont val="Calibri"/>
        <family val="2"/>
        <scheme val="minor"/>
      </rPr>
      <t xml:space="preserve"> in the central library for borrowing by the students of different disciplines for the whole session. 
* Non-existing                                0
* Existing, but insufficient.     1 - 6
* Sufficient.                              7 - 15</t>
    </r>
  </si>
  <si>
    <r>
      <rPr>
        <b/>
        <sz val="14"/>
        <color theme="1"/>
        <rFont val="Calibri"/>
        <family val="2"/>
        <scheme val="minor"/>
      </rPr>
      <t>LIBRARY EQUIPMENT (15)</t>
    </r>
    <r>
      <rPr>
        <sz val="14"/>
        <color theme="1"/>
        <rFont val="Calibri"/>
        <family val="2"/>
        <scheme val="minor"/>
      </rPr>
      <t xml:space="preserve">
This aspect pertains to various items of equipment of the central library such as printers, photocopiers, scanners, video and audio equipment, CD ROMS, computerized search etc. Library software is available in the market which can help in improving the functioning of the library in all aspects.
* Non-existing           0
* Insufficient.       1 - 7
* Sufficient.       8 – 15</t>
    </r>
  </si>
  <si>
    <r>
      <rPr>
        <b/>
        <sz val="14"/>
        <color theme="1"/>
        <rFont val="Calibri"/>
        <family val="2"/>
        <scheme val="minor"/>
      </rPr>
      <t>JOURNALS (10)</t>
    </r>
    <r>
      <rPr>
        <sz val="14"/>
        <color theme="1"/>
        <rFont val="Calibri"/>
        <family val="2"/>
        <scheme val="minor"/>
      </rPr>
      <t xml:space="preserve">
This aspect pertains to the availability of different research journals for different disciplines in the library such as gazettes, magazines, periodicals, journal publications, etc.  The institution must be linked to the HEC - supported on - line access to research journals. A minimum of 3 magazines and 3 journals per program must be subscribed through hard copies.
* Non-existing.                                                 0
* Insufficient.                                                    1
* Sufficient but variety not available     2 - 5
* Sufficient and variety available          6 - 10</t>
    </r>
  </si>
  <si>
    <r>
      <rPr>
        <b/>
        <sz val="14"/>
        <color theme="1"/>
        <rFont val="Calibri"/>
        <family val="2"/>
        <scheme val="minor"/>
      </rPr>
      <t>THEORY (20)</t>
    </r>
    <r>
      <rPr>
        <sz val="14"/>
        <color theme="1"/>
        <rFont val="Calibri"/>
        <family val="2"/>
        <scheme val="minor"/>
      </rPr>
      <t xml:space="preserve">
This aspect pertains to completion of theory courses during the prescribed period as per official record.
* Unsatisfactory  (&lt; 75% coverage)       0 - 4
* Satisfactory  (&gt; 75% coverage)          5 - 12
* Excellent  (100% coverage)              13 - 20</t>
    </r>
  </si>
  <si>
    <r>
      <rPr>
        <b/>
        <sz val="14"/>
        <color theme="1"/>
        <rFont val="Calibri"/>
        <family val="2"/>
        <scheme val="minor"/>
      </rPr>
      <t>STUDIO (20)</t>
    </r>
    <r>
      <rPr>
        <sz val="14"/>
        <color theme="1"/>
        <rFont val="Calibri"/>
        <family val="2"/>
        <scheme val="minor"/>
      </rPr>
      <t xml:space="preserve">
This aspect pertains to the completion of assigned practical experiments to a course during the prescribed period as per official record.
* Unsatisfactory (&lt; 75%)      0 - 10
* Satisfactory      (&gt; 75%)    11 - 20</t>
    </r>
  </si>
  <si>
    <r>
      <rPr>
        <b/>
        <sz val="14"/>
        <color theme="1"/>
        <rFont val="Calibri"/>
        <family val="2"/>
        <scheme val="minor"/>
      </rPr>
      <t xml:space="preserve">THEORY (15)
</t>
    </r>
    <r>
      <rPr>
        <sz val="14"/>
        <color theme="1"/>
        <rFont val="Calibri"/>
        <family val="2"/>
        <scheme val="minor"/>
      </rPr>
      <t xml:space="preserve">
* Unsatisfactory      0 - 5
* Satisfactory           6 - 9
* Good                   10 - 15</t>
    </r>
  </si>
  <si>
    <r>
      <rPr>
        <b/>
        <sz val="14"/>
        <color theme="1"/>
        <rFont val="Calibri"/>
        <family val="2"/>
        <scheme val="minor"/>
      </rPr>
      <t>STUDIO (20)</t>
    </r>
    <r>
      <rPr>
        <sz val="14"/>
        <color theme="1"/>
        <rFont val="Calibri"/>
        <family val="2"/>
        <scheme val="minor"/>
      </rPr>
      <t xml:space="preserve">
* Unsatisfactory      0 - 4
* Satisfactory          5 - 12
* Good                     13 - 20</t>
    </r>
  </si>
  <si>
    <r>
      <rPr>
        <b/>
        <sz val="14"/>
        <color theme="1"/>
        <rFont val="Calibri"/>
        <family val="2"/>
        <scheme val="minor"/>
      </rPr>
      <t>COURSE FILE (20)</t>
    </r>
    <r>
      <rPr>
        <sz val="14"/>
        <color theme="1"/>
        <rFont val="Calibri"/>
        <family val="2"/>
        <scheme val="minor"/>
      </rPr>
      <t xml:space="preserve">
The practice of course file is adopted internationally to monitor as how effective the course has been taught. It is strongly recommended that all Architecture / Town Planning institutions in Pakistan make maintenance of course-file mandatory. A course file must include all relevant data (such as given below) which could become the basis of evaluation. 
• Lecture breakdown for entire semester.
• Schedule of monthly/mid-term tests and final examination.
• Breakdown of work during Computer Labs, Workshops, Studios etc pertaining to the course and record of successful conduct.
• Samples of best, worst and average answer sheets, alongwith the question paper of each exam, quiz and assignment.
• Samples of quizzes.
• Listing of textbook and other reference books pertaining to the course.
• Record of make-up classes for any un-scheduled holiday.
• Details of office-hours for tutoring etc.
• Recommendation and suggestions related to the course for the next session. 
* Course file not maintained                                                        0
* Course file maintained but not properly organized       1 - 9
* Course file maintained and well organized                  11 - 20</t>
    </r>
  </si>
  <si>
    <r>
      <rPr>
        <b/>
        <sz val="14"/>
        <color theme="1"/>
        <rFont val="Calibri"/>
        <family val="2"/>
        <scheme val="minor"/>
      </rPr>
      <t>ADMISSION RESPONSE AND PERCENTAGE ADMITTED (25)</t>
    </r>
    <r>
      <rPr>
        <sz val="14"/>
        <color theme="1"/>
        <rFont val="Calibri"/>
        <family val="2"/>
        <scheme val="minor"/>
      </rPr>
      <t xml:space="preserve">
This aspect pertains to the ratio of students selected and the total number of applications received.
* Very high (50% and above)    0 - 8
* Low  (30 – 50%)                     9 – 16
* Very Low (&lt; 30%)                17 – 25</t>
    </r>
  </si>
  <si>
    <r>
      <rPr>
        <b/>
        <sz val="14"/>
        <color theme="1"/>
        <rFont val="Calibri"/>
        <family val="2"/>
        <scheme val="minor"/>
      </rPr>
      <t>INTAKE (15)</t>
    </r>
    <r>
      <rPr>
        <sz val="14"/>
        <color theme="1"/>
        <rFont val="Calibri"/>
        <family val="2"/>
        <scheme val="minor"/>
      </rPr>
      <t xml:space="preserve">
This aspect pertains to the number of students admitted considering the capacity of a given Architecture / Town Planner program and its allied available facilities.
* Unmanageable       0
* Large                    1 - 5
* Manageable       6 - 9
* Correct             10 - 15</t>
    </r>
  </si>
  <si>
    <r>
      <rPr>
        <b/>
        <sz val="14"/>
        <color theme="1"/>
        <rFont val="Calibri"/>
        <family val="2"/>
        <scheme val="minor"/>
      </rPr>
      <t>CONVOCATION HALL / AUDITORIUM (15)</t>
    </r>
    <r>
      <rPr>
        <sz val="14"/>
        <color theme="1"/>
        <rFont val="Calibri"/>
        <family val="2"/>
        <scheme val="minor"/>
      </rPr>
      <t xml:space="preserve">
* Non-existing  but managing     0 - 4
* Satisfactory                                  5 - 9
* Good                                          10 - 15</t>
    </r>
  </si>
  <si>
    <r>
      <rPr>
        <b/>
        <sz val="14"/>
        <color theme="1"/>
        <rFont val="Calibri"/>
        <family val="2"/>
        <scheme val="minor"/>
      </rPr>
      <t>PRACTICAL (10)</t>
    </r>
    <r>
      <rPr>
        <sz val="14"/>
        <color theme="1"/>
        <rFont val="Calibri"/>
        <family val="2"/>
        <scheme val="minor"/>
      </rPr>
      <t xml:space="preserve">
This aspect pertains to the </t>
    </r>
    <r>
      <rPr>
        <b/>
        <sz val="14"/>
        <color theme="1"/>
        <rFont val="Calibri"/>
        <family val="2"/>
        <scheme val="minor"/>
      </rPr>
      <t>number of students per work station/experimental setup.</t>
    </r>
    <r>
      <rPr>
        <sz val="14"/>
        <color theme="1"/>
        <rFont val="Calibri"/>
        <family val="2"/>
        <scheme val="minor"/>
      </rPr>
      <t xml:space="preserve"> (Drafting Tables in Studios etc.)
* Large &gt; 3                   0 - 3
* Manageable = 2      4 - 5
* Correct size &lt; 1      6 - 10</t>
    </r>
  </si>
  <si>
    <r>
      <rPr>
        <b/>
        <sz val="14"/>
        <color theme="1"/>
        <rFont val="Calibri"/>
        <family val="2"/>
        <scheme val="minor"/>
      </rPr>
      <t>OFFICE-HOURS FOR ACADEMIC COUNSELING [10]</t>
    </r>
    <r>
      <rPr>
        <sz val="14"/>
        <color theme="1"/>
        <rFont val="Calibri"/>
        <family val="2"/>
        <scheme val="minor"/>
      </rPr>
      <t xml:space="preserve">
This aspect pertains to the guidance available to the students from teachers through dedicated office hours beyond the scheduled timetable.
* No counseling at all                         0
* Some counseling                         1 - 5
* Well organized counseling     6 - 10</t>
    </r>
  </si>
  <si>
    <r>
      <rPr>
        <b/>
        <sz val="14"/>
        <color theme="1"/>
        <rFont val="Calibri"/>
        <family val="2"/>
        <scheme val="minor"/>
      </rPr>
      <t>OTHER FACILITIES FOR STUDENTS [75]</t>
    </r>
    <r>
      <rPr>
        <sz val="14"/>
        <color theme="1"/>
        <rFont val="Calibri"/>
        <family val="2"/>
        <scheme val="minor"/>
      </rPr>
      <t xml:space="preserve">
This aspect pertains to hostel accommodation, auditorium, sports facilities, gym., transport, health centre, clinic, guest house etc</t>
    </r>
  </si>
  <si>
    <r>
      <rPr>
        <b/>
        <sz val="14"/>
        <color theme="1"/>
        <rFont val="Calibri"/>
        <family val="2"/>
        <scheme val="minor"/>
      </rPr>
      <t>HOSTEL(S) ACCOMMODATION (40)</t>
    </r>
    <r>
      <rPr>
        <sz val="14"/>
        <color theme="1"/>
        <rFont val="Calibri"/>
        <family val="2"/>
        <scheme val="minor"/>
      </rPr>
      <t xml:space="preserve">
 (Boys &amp; Girls)
* Poor accommodation                    0 - 8
* Inadequate accommodation     9 - 20
* Adequate accommodation      21 - 40</t>
    </r>
  </si>
  <si>
    <r>
      <rPr>
        <b/>
        <sz val="14"/>
        <color theme="1"/>
        <rFont val="Calibri"/>
        <family val="2"/>
        <scheme val="minor"/>
      </rPr>
      <t xml:space="preserve">SPORTS FACILITIES (including swimming pool, gym etc) (10)   </t>
    </r>
    <r>
      <rPr>
        <sz val="14"/>
        <color theme="1"/>
        <rFont val="Calibri"/>
        <family val="2"/>
        <scheme val="minor"/>
      </rPr>
      <t xml:space="preserve"> 
* Non-existing          0
* Inadequate      1 - 5
* Adequate       6 - 10</t>
    </r>
  </si>
  <si>
    <r>
      <rPr>
        <b/>
        <sz val="14"/>
        <color theme="1"/>
        <rFont val="Calibri"/>
        <family val="2"/>
        <scheme val="minor"/>
      </rPr>
      <t>STUDENT TRANSPORT (10)</t>
    </r>
    <r>
      <rPr>
        <sz val="14"/>
        <color theme="1"/>
        <rFont val="Calibri"/>
        <family val="2"/>
        <scheme val="minor"/>
      </rPr>
      <t xml:space="preserve">
* Non-existing          0
* Inadequate      1 - 5
* Adequate       6 - 10</t>
    </r>
  </si>
  <si>
    <r>
      <rPr>
        <b/>
        <sz val="14"/>
        <color theme="1"/>
        <rFont val="Calibri"/>
        <family val="2"/>
        <scheme val="minor"/>
      </rPr>
      <t>OTHER FACILITIES (15)</t>
    </r>
    <r>
      <rPr>
        <sz val="14"/>
        <color theme="1"/>
        <rFont val="Calibri"/>
        <family val="2"/>
        <scheme val="minor"/>
      </rPr>
      <t xml:space="preserve">
This aspect pertains to other common facilities such as cafeteria, health centre, guest house, club etc.
* Not available but manageable    0 - 4
* Partially available                         5 - 10
* Available                                       11 - 15</t>
    </r>
  </si>
  <si>
    <r>
      <rPr>
        <b/>
        <sz val="14"/>
        <color theme="1"/>
        <rFont val="Calibri"/>
        <family val="2"/>
        <scheme val="minor"/>
      </rPr>
      <t>YIELD [10]</t>
    </r>
    <r>
      <rPr>
        <sz val="14"/>
        <color theme="1"/>
        <rFont val="Calibri"/>
        <family val="2"/>
        <scheme val="minor"/>
      </rPr>
      <t xml:space="preserve">
This aspect pertains to the yearly percentage of the graduating students to the respective intake.
* Unreasonably Low  (below 30 %)         0
* Low   (30 %  -  50 %)                                 1 
* High   (50 %  -  75 %)                          2 - 5 
* Very High  (75 %  -  100 %)             6 - 10</t>
    </r>
  </si>
  <si>
    <r>
      <rPr>
        <b/>
        <sz val="14"/>
        <color theme="1"/>
        <rFont val="Calibri"/>
        <family val="2"/>
        <scheme val="minor"/>
      </rPr>
      <t xml:space="preserve">DROPOUTS [10] </t>
    </r>
    <r>
      <rPr>
        <sz val="14"/>
        <color theme="1"/>
        <rFont val="Calibri"/>
        <family val="2"/>
        <scheme val="minor"/>
      </rPr>
      <t xml:space="preserve">
* Extremely high dropouts (more than 10% of intake).   0 - 3
* Reasonable dropouts       (5-9 % of intake).                      4 - 7  
* Minimum dropouts           (&lt;5 % of intake).                     7 – 10</t>
    </r>
  </si>
  <si>
    <r>
      <rPr>
        <b/>
        <sz val="14"/>
        <color theme="1"/>
        <rFont val="Calibri"/>
        <family val="2"/>
        <scheme val="minor"/>
      </rPr>
      <t>INTERNSHIP/PRACTICAL TRAINING [10]</t>
    </r>
    <r>
      <rPr>
        <sz val="14"/>
        <color theme="1"/>
        <rFont val="Calibri"/>
        <family val="2"/>
        <scheme val="minor"/>
      </rPr>
      <t xml:space="preserve">
This aspect pertains to the involvement of students in practical training in industry during summer vacations.
* No provision                                            0
* Reasonable provision                      1 - 5
* Compulsory practical training    6 – 10</t>
    </r>
  </si>
  <si>
    <r>
      <rPr>
        <b/>
        <sz val="14"/>
        <color theme="1"/>
        <rFont val="Calibri"/>
        <family val="2"/>
        <scheme val="minor"/>
      </rPr>
      <t>PLACEMENT BUREAU (10)</t>
    </r>
    <r>
      <rPr>
        <sz val="14"/>
        <color theme="1"/>
        <rFont val="Calibri"/>
        <family val="2"/>
        <scheme val="minor"/>
      </rPr>
      <t xml:space="preserve">
Each university should have a placement bureau that will maintain record of students’ employment, assist the students in placement and interact with relevant employers.
* Does not exist                                                0
* Exists but not functionally operative   1 - 4
* Exists and operative                               5 - 10</t>
    </r>
  </si>
  <si>
    <r>
      <rPr>
        <b/>
        <sz val="14"/>
        <color theme="1"/>
        <rFont val="Calibri"/>
        <family val="2"/>
        <scheme val="minor"/>
      </rPr>
      <t>ALUMNI’S SATISFACTION (15)</t>
    </r>
    <r>
      <rPr>
        <sz val="14"/>
        <color theme="1"/>
        <rFont val="Calibri"/>
        <family val="2"/>
        <scheme val="minor"/>
      </rPr>
      <t xml:space="preserve">
This aspect pertains to the opinion of former graduates regarding the quality and adequacy of their education, and that of fresh graduates of the same institution and in the same discipline. The institutions are encouraged to develop a database of outgoing graduates to receive their feedback through the placement bureau and from alumni’s associations.
* Not available                          0
* Unsatisfied                         1 - 4
* Satisfied                            5 - 10
* Extremely satisfied      11 - 15</t>
    </r>
  </si>
  <si>
    <r>
      <rPr>
        <b/>
        <sz val="14"/>
        <color theme="1"/>
        <rFont val="Calibri"/>
        <family val="2"/>
        <scheme val="minor"/>
      </rPr>
      <t>ACCEPTANCE FOR ADMISSION IN FOREIGN UNIVERSITIES (20)</t>
    </r>
    <r>
      <rPr>
        <sz val="14"/>
        <color theme="1"/>
        <rFont val="Calibri"/>
        <family val="2"/>
        <scheme val="minor"/>
      </rPr>
      <t xml:space="preserve">
The data available from regular faculty members regarding admission of their graduating students in foreign universities in graduate programs.
* Not accepted at all                                       0 
* Accepted with reservations / tests    1 - 10
* Readily accepted                                  11 - 20</t>
    </r>
  </si>
  <si>
    <r>
      <rPr>
        <b/>
        <sz val="14"/>
        <color theme="1"/>
        <rFont val="Calibri"/>
        <family val="2"/>
        <scheme val="minor"/>
      </rPr>
      <t>FACULTY RESEARCH GRANT (15)</t>
    </r>
    <r>
      <rPr>
        <sz val="14"/>
        <color theme="1"/>
        <rFont val="Calibri"/>
        <family val="2"/>
        <scheme val="minor"/>
      </rPr>
      <t xml:space="preserve">
* Nil                             0
* Reasonable       1 - 9
* Sufficient       10 – 15</t>
    </r>
  </si>
  <si>
    <r>
      <rPr>
        <b/>
        <sz val="14"/>
        <color theme="1"/>
        <rFont val="Calibri"/>
        <family val="2"/>
        <scheme val="minor"/>
      </rPr>
      <t>EFFECTIVE UTILIZATION OF RESEARCH GRANT AND ITS NET OUTCOME (10)</t>
    </r>
    <r>
      <rPr>
        <sz val="14"/>
        <color theme="1"/>
        <rFont val="Calibri"/>
        <family val="2"/>
        <scheme val="minor"/>
      </rPr>
      <t xml:space="preserve">
* Not used                                0
* Reasonably used            1 - 5
* Appropriately used      6 - 10</t>
    </r>
  </si>
  <si>
    <r>
      <rPr>
        <b/>
        <sz val="14"/>
        <color theme="1"/>
        <rFont val="Calibri"/>
        <family val="2"/>
        <scheme val="minor"/>
      </rPr>
      <t xml:space="preserve">CONTINUITY OF FACULTY RESEARCH (15)
</t>
    </r>
    <r>
      <rPr>
        <sz val="14"/>
        <color theme="1"/>
        <rFont val="Calibri"/>
        <family val="2"/>
        <scheme val="minor"/>
      </rPr>
      <t xml:space="preserve">
* Nil                               0
* Moderate            1 - 7
* Appropriate       8 - 15</t>
    </r>
  </si>
  <si>
    <r>
      <rPr>
        <b/>
        <sz val="14"/>
        <color theme="1"/>
        <rFont val="Calibri"/>
        <family val="2"/>
        <scheme val="minor"/>
      </rPr>
      <t>ACADEMIC COLLABORATION  (20)</t>
    </r>
    <r>
      <rPr>
        <sz val="14"/>
        <color theme="1"/>
        <rFont val="Calibri"/>
        <family val="2"/>
        <scheme val="minor"/>
      </rPr>
      <t xml:space="preserve">
This aspect pertains to the collaboration with national and foreign universities for joint research, training, data exchanges and holding of seminars etc. The collaboration can be quite effective if the objectives of the program are clearly defined.
* No system of collaboration          0
* Weekly established                   1 - 5
* Inadequately established      6 - 12
* Adequately established       13 - 20</t>
    </r>
  </si>
  <si>
    <r>
      <rPr>
        <b/>
        <sz val="14"/>
        <color theme="1"/>
        <rFont val="Calibri"/>
        <family val="2"/>
        <scheme val="minor"/>
      </rPr>
      <t>TEXTBOOKS WRITTEN BY FACULTY MEMBERS (10)</t>
    </r>
    <r>
      <rPr>
        <sz val="14"/>
        <color theme="1"/>
        <rFont val="Calibri"/>
        <family val="2"/>
        <scheme val="minor"/>
      </rPr>
      <t xml:space="preserve">
* No book written                                                             0
* Some manuals but no formal book published     1 - 5
* Book(s) Published                                                     6 - 10</t>
    </r>
  </si>
  <si>
    <r>
      <rPr>
        <b/>
        <sz val="14"/>
        <color theme="1"/>
        <rFont val="Calibri"/>
        <family val="2"/>
        <scheme val="minor"/>
      </rPr>
      <t xml:space="preserve">BUDGETARY ALLOCATION FOR CONFERENCES, SEMINARS, COLLOQUIUMS ETC. (10)
</t>
    </r>
    <r>
      <rPr>
        <sz val="14"/>
        <color theme="1"/>
        <rFont val="Calibri"/>
        <family val="2"/>
        <scheme val="minor"/>
      </rPr>
      <t xml:space="preserve">
* No provision                       0
* Irregular provision       1 - 4
* Regular provision       5 - 10</t>
    </r>
  </si>
  <si>
    <r>
      <rPr>
        <b/>
        <sz val="14"/>
        <color theme="1"/>
        <rFont val="Calibri"/>
        <family val="2"/>
        <scheme val="minor"/>
      </rPr>
      <t>COMPUTER AND INTERNET FACILITIES (20)</t>
    </r>
    <r>
      <rPr>
        <sz val="14"/>
        <color theme="1"/>
        <rFont val="Calibri"/>
        <family val="2"/>
        <scheme val="minor"/>
      </rPr>
      <t xml:space="preserve">
This aspect pertains to computer facilities (i.e. computers, scanners, internet facilities, printers etc.) provided in the department for the students and teachers.
* Non existing             0
* Inadequate       1 - 11
* Adequate        12 - 20</t>
    </r>
  </si>
  <si>
    <r>
      <rPr>
        <b/>
        <sz val="14"/>
        <color theme="1"/>
        <rFont val="Calibri"/>
        <family val="2"/>
        <scheme val="minor"/>
      </rPr>
      <t>ACCESSIBILITY OF FACULTY/STUDENTS TO COMPUTER/INTERNET FACILITIES AND INTERNATIONAL DATABASES (10)</t>
    </r>
    <r>
      <rPr>
        <sz val="14"/>
        <color theme="1"/>
        <rFont val="Calibri"/>
        <family val="2"/>
        <scheme val="minor"/>
      </rPr>
      <t xml:space="preserve">
This aspect pertains to the computing facility available in the department and its degree of accessibility to the students.
* Low                            0 - 3
* Reasonable              4 - 7
* Fully accessible      8 - 10</t>
    </r>
  </si>
  <si>
    <r>
      <rPr>
        <b/>
        <sz val="14"/>
        <color theme="1"/>
        <rFont val="Calibri"/>
        <family val="2"/>
        <scheme val="minor"/>
      </rPr>
      <t>INDUSTRIAL LIAISON OFFICE (10)</t>
    </r>
    <r>
      <rPr>
        <sz val="14"/>
        <color theme="1"/>
        <rFont val="Calibri"/>
        <family val="2"/>
        <scheme val="minor"/>
      </rPr>
      <t xml:space="preserve">
This pertains to the persons of a corporate office in the institution for linkage with industry and other organizations. This linkage may involve sponsored research, initiating joint research projects, conducting short courses, organizing conference, sharing R&amp;D facilities and facilitating student internship etc.
* No Liaison Office                                                                           0
* Liaison office available but without a proper system     1 - 3
* A liaison office exists with proper staff and supporting  4 - 7
  mechanism but no formal linkage established.
* A well organized liaison office in place with proper       7 - 10 
  staff and supporting mechanism which has resulted in some type of linkage.</t>
    </r>
  </si>
  <si>
    <r>
      <rPr>
        <b/>
        <sz val="14"/>
        <color theme="1"/>
        <rFont val="Calibri"/>
        <family val="2"/>
        <scheme val="minor"/>
      </rPr>
      <t>COMMERCIALIZATION OF RESEARCH FINDINGS (20)</t>
    </r>
    <r>
      <rPr>
        <sz val="14"/>
        <color theme="1"/>
        <rFont val="Calibri"/>
        <family val="2"/>
        <scheme val="minor"/>
      </rPr>
      <t xml:space="preserve">
Through a proper marketing strategy, the institution should find the potential beneficiaries of its R&amp;D undertakings to commercialize the scientific know-how for mutual benefits of the user organization (client) as well as the institution itself.
* No efforts made for commercialization of research        0
* Some efforts made but without success                       1 – 8
* Some commercialization realized                                9 – 14
* Significant commercialization realized                     15 – 20</t>
    </r>
  </si>
  <si>
    <r>
      <rPr>
        <b/>
        <sz val="14"/>
        <color theme="1"/>
        <rFont val="Calibri"/>
        <family val="2"/>
        <scheme val="minor"/>
      </rPr>
      <t>ORGANIZATIONAL SETUP (10)</t>
    </r>
    <r>
      <rPr>
        <sz val="14"/>
        <color theme="1"/>
        <rFont val="Calibri"/>
        <family val="2"/>
        <scheme val="minor"/>
      </rPr>
      <t xml:space="preserve">
This aspect pertains to essential governance and management setups including financial and academic infrastructure like :
1) Chairmen
2) Senate
3) Academic Council
4) Board of Studies
5) Deans
6) Heads of Divisions
7) Registrar
8) Treasurer
9) Controller of examination
10) Director sports and Health services.
In case of a private institution, it must be managed by a Foundation/Trust, properly registered under the law.
* Weak                  0 - 2
* Overlapping      3 - 6
* Well laid out     7 - 10</t>
    </r>
  </si>
  <si>
    <r>
      <rPr>
        <b/>
        <sz val="14"/>
        <color theme="1"/>
        <rFont val="Calibri"/>
        <family val="2"/>
        <scheme val="minor"/>
      </rPr>
      <t>TRAINING OF FACULTY (20)</t>
    </r>
    <r>
      <rPr>
        <sz val="14"/>
        <color theme="1"/>
        <rFont val="Calibri"/>
        <family val="2"/>
        <scheme val="minor"/>
      </rPr>
      <t xml:space="preserve">
It is strongly recommended that each newly inducted faculty member undergoes eight- weeks training to become an effective teacher. There should be no exception even in case of postgraduate faculty. This training should be suitably designed to encompass at least the following aspects:
• General aspects of lecture delivery including thorough preparation.
• Use of support systems during lecture delivery.
• Mode and means of efficient student - teacher interactions.
• Developing course files.
• Dedicated office hours and their effectiveness.
• Conducting effective quizzes/mid-term tests/final exams.
• How to make Assignments an effective tool to assess students.
• The role of attendance in learning.
• Lecture breakdown to ensure complete course coverage.
• Making semester system more transparent and effective.
• Code of conduct and integrity issues.
• Dress code.
• Teacher as a role model.
• Communication skills and ability to disseminate knowledge especially at the conceptual level.
• Student psychology and how to deal with them, without hampering their investigative and questioning attributes.
* No system of training in place                             0
* Some orientation but no formal training   1 - 10
* Systematic training scheme in place         11 - 20</t>
    </r>
  </si>
  <si>
    <t>AUSPICES (05)</t>
  </si>
  <si>
    <t>ORGANIZATIONAL SETUP (10)</t>
  </si>
  <si>
    <t>FULL-TIME FACULTY (45)</t>
  </si>
  <si>
    <t>PART-TIME (OVER AND ABOVE FULL-TIME) FACULTY (15)</t>
  </si>
  <si>
    <t>SHARED FACULTY (15)</t>
  </si>
  <si>
    <t>TRAINING OF FACULTY (20)</t>
  </si>
  <si>
    <t>FACULTY DEVELOPMENT AND CAREER PLANNING (30)</t>
  </si>
  <si>
    <t>SALARIES AND BENEFITS (20)</t>
  </si>
  <si>
    <t>PCATP REGISTRATION AND UPDATION (Qualifications etc) (10)</t>
  </si>
  <si>
    <t>TEACHING LOAD (20)</t>
  </si>
  <si>
    <t>STUDENT-TEACHER RATIO (20)</t>
  </si>
  <si>
    <t>ACADEMIC PROGRAM [100]</t>
  </si>
  <si>
    <t>OBJECTIVES (10)</t>
  </si>
  <si>
    <t xml:space="preserve">HEC/PCATP GUIDELINES (20) </t>
  </si>
  <si>
    <t>EXAMINATION (25)</t>
  </si>
  <si>
    <t>TEXTBOOKS (10)</t>
  </si>
  <si>
    <t>NET INSTRUCTIONAL HOURS (10)</t>
  </si>
  <si>
    <t>CURRICULUM REVISION (10)</t>
  </si>
  <si>
    <t>ADEQUACY AND QUALITY OF EQUIPMENT AVAILABLE IN THE STUDIOS, COMPUTER LABS AND WORKSHOPS and Building Material Labs (40)</t>
  </si>
  <si>
    <t>EQUIPMENT UTILIZATION (20)</t>
  </si>
  <si>
    <t>AVAILABILITY OF COMPUTER LAB / WORKSHOP STAFF (10)</t>
  </si>
  <si>
    <t>QUALIFICATION OF STAFF IN STUDIOS / COMPUTER LAB / WORKSHOP / MODEL MAKING &amp; BUILDING MATERIAL LABS (10)</t>
  </si>
  <si>
    <t>TECHNICAL COMPETENCY OF STAFF IN STUDIOS / COMPUTER LAB / WORKSHOP / MODEL MAKING &amp; BUILDING MATERIAL LABS (5)</t>
  </si>
  <si>
    <t>ADEQUACY AND QUALITY OF ADMINISTRATIVE / SUPPORT STAFF (10)</t>
  </si>
  <si>
    <t>LIBRARY [100]</t>
  </si>
  <si>
    <t>BUDGET (30)</t>
  </si>
  <si>
    <t>BOOKS (30)</t>
  </si>
  <si>
    <t>LIBRARY EQUIPMENT (15)</t>
  </si>
  <si>
    <t>JOURNALS (10)</t>
  </si>
  <si>
    <t>THEORY (20)</t>
  </si>
  <si>
    <t>STUDIO (20)</t>
  </si>
  <si>
    <t>THEORY (15)</t>
  </si>
  <si>
    <t>COURSE FILE (20)</t>
  </si>
  <si>
    <t>STUDENTS' FEEDBACK (10)</t>
  </si>
  <si>
    <t>ADMISSIONS (20)</t>
  </si>
  <si>
    <t>ADMISSION RESPONSE AND PERCENTAGE ADMITTED (25)</t>
  </si>
  <si>
    <t>INTAKE (15)</t>
  </si>
  <si>
    <t>CONVOCATION HALL / AUDITORIUM (15)</t>
  </si>
  <si>
    <t>OTHER ALLIED FACILITIES (10)</t>
  </si>
  <si>
    <t>FINANCIAL SUPPORT TO STUDENTS [15]</t>
  </si>
  <si>
    <t>THEORY (10)</t>
  </si>
  <si>
    <t>OFFICE-HOURS FOR ACADEMIC COUNSELING [10]</t>
  </si>
  <si>
    <t>OTHER FACILITIES FOR STUDENTS [75]</t>
  </si>
  <si>
    <t>HOSTEL(S) ACCOMMODATION (40)</t>
  </si>
  <si>
    <t>SPORTS FACILITIES (including swimming pool, gym etc) (10)</t>
  </si>
  <si>
    <t>STUDENT TRANSPORT (10)</t>
  </si>
  <si>
    <t>OTHER FACILITIES (15)</t>
  </si>
  <si>
    <t>YIELD [10]</t>
  </si>
  <si>
    <t xml:space="preserve">DROPOUTS [10] </t>
  </si>
  <si>
    <t>AVERAGE DURATION [10]</t>
  </si>
  <si>
    <t>INTERNSHIP/PRACTICAL TRAINING [10]</t>
  </si>
  <si>
    <t>PLACEMENT BUREAU (10)</t>
  </si>
  <si>
    <t>ALUMNI’S SATISFACTION (15)</t>
  </si>
  <si>
    <t>EMPLOYER’S OPINION (25)</t>
  </si>
  <si>
    <t>ACCEPTANCE FOR ADMISSION IN FOREIGN UNIVERSITIES (20)</t>
  </si>
  <si>
    <t>AVERAGE STARTING SALARY OF GRADUATES (10)</t>
  </si>
  <si>
    <t>AVERAGE TIME TAKEN TO FIND A JOB (10)</t>
  </si>
  <si>
    <t>RESEARCH AND PUBLICATIONS [140]</t>
  </si>
  <si>
    <t>FACULTY RESEARCH GRANT (15)</t>
  </si>
  <si>
    <t>EFFECTIVE UTILIZATION OF RESEARCH GRANT AND ITS NET OUTCOME (10)</t>
  </si>
  <si>
    <t>FACULTY PUBLICATIONS IN HEC-APPROVED JOURNALS (30)</t>
  </si>
  <si>
    <t>CONTINUITY OF FACULTY RESEARCH (15)</t>
  </si>
  <si>
    <t>ACADEMIC COLLABORATION  (20)</t>
  </si>
  <si>
    <t>TEXTBOOKS WRITTEN BY FACULTY MEMBERS (10)</t>
  </si>
  <si>
    <t>BUDGETARY ALLOCATION FOR CONFERENCES, SEMINARS, COLLOQUIUMS ETC. (10)</t>
  </si>
  <si>
    <t>COMPUTER AND INTERNET FACILITIES (20)</t>
  </si>
  <si>
    <t>ACCESSIBILITY OF FACULTY/STUDENTS TO COMPUTER/INTERNET FACILITIES AND INTERNATIONAL DATABASES (10)</t>
  </si>
  <si>
    <t>INDUSTRIAL LIAISON OFFICE (10)</t>
  </si>
  <si>
    <t>COMMERCIALIZATION OF RESEARCH FINDINGS (20)</t>
  </si>
  <si>
    <t>WEBSITE [20]</t>
  </si>
  <si>
    <t>CONTROL (10)</t>
  </si>
  <si>
    <t>STRENGTH AND QUALITY OF FACULTY</t>
  </si>
  <si>
    <t>ACADEMIC QUALIFICATION (40)</t>
  </si>
  <si>
    <t xml:space="preserve">SUBJECT-TEACHER RATIO/CREDIT HOURS (15) </t>
  </si>
  <si>
    <t>INSTRUCTIONS (15)</t>
  </si>
  <si>
    <t>BOOK BANK (15)</t>
  </si>
  <si>
    <t>PRACTICAL (10)</t>
  </si>
  <si>
    <t>ACADEMIC BUILDINGS AND OTHER ALLIED  FACILITIES [40]</t>
  </si>
  <si>
    <t>STUDIOS, COMPUTER LABS, WORKSHOP AND ALLIED STAFF [95]</t>
  </si>
  <si>
    <t>STANDARD AND QUALITY OF INSTRUCTIONS [105]</t>
  </si>
  <si>
    <r>
      <t xml:space="preserve">STUDIOS, COMPUTER LABS, WORKSHOP AND ALLIED STAFF [95]
</t>
    </r>
    <r>
      <rPr>
        <sz val="14"/>
        <color theme="1"/>
        <rFont val="Times New Roman"/>
        <family val="1"/>
      </rPr>
      <t>This aspect pertains to the departmental infrastructure in the context of quality and adequacy of studio, labs, equipment, space, workshops and technical staff.</t>
    </r>
  </si>
  <si>
    <t>Section A</t>
  </si>
  <si>
    <t>Section B</t>
  </si>
  <si>
    <t>Percentage</t>
  </si>
  <si>
    <t>Particulars</t>
  </si>
  <si>
    <t>Total Score</t>
  </si>
  <si>
    <t>Score
Obtained</t>
  </si>
  <si>
    <t>APPARENT QUALITY OF FACULTY [25]</t>
  </si>
  <si>
    <r>
      <rPr>
        <b/>
        <sz val="14"/>
        <color theme="1"/>
        <rFont val="Calibri"/>
        <family val="2"/>
        <scheme val="minor"/>
      </rPr>
      <t xml:space="preserve">FINANCIAL SUPPORT TO STUDENTS [15]
</t>
    </r>
    <r>
      <rPr>
        <sz val="14"/>
        <color theme="1"/>
        <rFont val="Calibri"/>
        <family val="2"/>
        <scheme val="minor"/>
      </rPr>
      <t xml:space="preserve">
This aspect pertains to various scholarships and interest-free loans which the students may get from various sources.
* Not available.                                                                       0
* Available (but limited to &lt;50% of eligible students)   1 - 8
* Adequate (available to &gt;50% of eligible students)    9 - 15</t>
    </r>
  </si>
  <si>
    <t>EDUCATIONAL VISITS AND TOURS [10]</t>
  </si>
  <si>
    <r>
      <rPr>
        <b/>
        <sz val="14"/>
        <color theme="1"/>
        <rFont val="Calibri"/>
        <family val="2"/>
        <scheme val="minor"/>
      </rPr>
      <t>RESEARCH AND PUBLICATIONS [140]</t>
    </r>
    <r>
      <rPr>
        <sz val="14"/>
        <color theme="1"/>
        <rFont val="Calibri"/>
        <family val="2"/>
        <scheme val="minor"/>
      </rPr>
      <t xml:space="preserve">
The work regarding research carried out in each Architecture / Town Planning program of the Institution will be examined in the light of attributes of good faculty members who are Masters degree holders, Consultancy &amp; Design experience, interaction with industry and user organizations to attract R&amp;D funds and indulgence in research etc.</t>
    </r>
  </si>
  <si>
    <r>
      <rPr>
        <b/>
        <sz val="14"/>
        <color theme="1"/>
        <rFont val="Calibri"/>
        <family val="2"/>
        <scheme val="minor"/>
      </rPr>
      <t>WEBSITE [20]</t>
    </r>
    <r>
      <rPr>
        <sz val="14"/>
        <color theme="1"/>
        <rFont val="Calibri"/>
        <family val="2"/>
        <scheme val="minor"/>
      </rPr>
      <t xml:space="preserve">
Each Architecture / Town Planning institution must have its web page where accreditation status of each program should be clearly and correctly displayed. It should also contain information of all major parameters of accreditation such as faculty, laboratory equipment, laboratory staff, R&amp;D activities undertaken, library facilities etc.
* Not available                                                                                   0
* Available but accreditation data are not complete.        1 - 8
* Relevant accreditation data available and complete     9 - 20</t>
    </r>
  </si>
  <si>
    <t>No. of Dedicated Workshops</t>
  </si>
  <si>
    <t>No. of Faculty Having Masters Degree +  PCATP Membership</t>
  </si>
  <si>
    <t>Faculty Distribution</t>
  </si>
  <si>
    <t>M7-3a</t>
  </si>
  <si>
    <t>M7-3b</t>
  </si>
  <si>
    <t>M7-3c</t>
  </si>
  <si>
    <t>M7-3d</t>
  </si>
  <si>
    <t>Final Interpretation</t>
  </si>
  <si>
    <t>Min. Faculty Eligibility</t>
  </si>
  <si>
    <t>Annotation</t>
  </si>
  <si>
    <t>Area of Studio No. 1 in Sq. Ft.</t>
  </si>
  <si>
    <t>Area of Studio No. 2 in Sq. Ft.</t>
  </si>
  <si>
    <t>Area of Studio No. 3 in Sq. Ft.</t>
  </si>
  <si>
    <t>Area of Studio No. 4 in Sq. Ft.</t>
  </si>
  <si>
    <t>Area of Studio No. 5 in Sq. Ft.</t>
  </si>
  <si>
    <t>Area of Lecture Hall No. 1 in Sq. Ft.</t>
  </si>
  <si>
    <t>Area of Lecture Hall No. 2 in Sq. Ft.</t>
  </si>
  <si>
    <t>Computer Labs Availability (Yes / No)</t>
  </si>
  <si>
    <t>Lecture Halls Availability (Yes / No)</t>
  </si>
  <si>
    <r>
      <rPr>
        <b/>
        <sz val="14"/>
        <color theme="1"/>
        <rFont val="Calibri"/>
        <family val="2"/>
        <scheme val="minor"/>
      </rPr>
      <t>PART-TIME (OVER AND ABOVE FULL-TIME) FACULTY (15)</t>
    </r>
    <r>
      <rPr>
        <sz val="14"/>
        <color theme="1"/>
        <rFont val="Calibri"/>
        <family val="2"/>
        <scheme val="minor"/>
      </rPr>
      <t xml:space="preserve">
Upto 40% teaching staff may be allowed on part-time basis but only in special circumstances. This aspect pertains to visiting faculty. 
* No visiting faculty                 0
* More than allowed            1 - 3
* Less than allowed            4 - 7
* Adequately Allowed       8 - 15
</t>
    </r>
  </si>
  <si>
    <r>
      <rPr>
        <b/>
        <sz val="14"/>
        <color theme="1"/>
        <rFont val="Calibri"/>
        <family val="2"/>
        <scheme val="minor"/>
      </rPr>
      <t>EDUCATIONAL VISITS AND TOURS [10]</t>
    </r>
    <r>
      <rPr>
        <sz val="14"/>
        <color theme="1"/>
        <rFont val="Calibri"/>
        <family val="2"/>
        <scheme val="minor"/>
      </rPr>
      <t xml:space="preserve">
This aspect pertains to number of adequate educational visits, tours and picnics to involve students in co-curricular learning.
* Not available         0
* Inadequate       1 - 5
* Adequate         6 - 10</t>
    </r>
  </si>
  <si>
    <r>
      <rPr>
        <b/>
        <sz val="14"/>
        <color theme="1"/>
        <rFont val="Calibri"/>
        <family val="2"/>
        <scheme val="minor"/>
      </rPr>
      <t>OTHER ALLIED FACILITIES (10)</t>
    </r>
    <r>
      <rPr>
        <sz val="14"/>
        <color theme="1"/>
        <rFont val="Calibri"/>
        <family val="2"/>
        <scheme val="minor"/>
      </rPr>
      <t xml:space="preserve">
This aspect pertains to existence of seminar rooms, reproduction facilities, audiovisual aides, computer facilities for staff and students etc.
* Not available         0
* Inadequate       1 - 5
* Adequate         6 - 10</t>
    </r>
  </si>
  <si>
    <r>
      <rPr>
        <b/>
        <sz val="14"/>
        <color theme="1"/>
        <rFont val="Calibri"/>
        <family val="2"/>
        <scheme val="minor"/>
      </rPr>
      <t>AVERAGE STARTING SALARY OF GRADUATES (10)</t>
    </r>
    <r>
      <rPr>
        <sz val="14"/>
        <color theme="1"/>
        <rFont val="Calibri"/>
        <family val="2"/>
        <scheme val="minor"/>
      </rPr>
      <t xml:space="preserve">
This aspect pertains to the market forces which determine the salary package of a fresh graduate of an Institution, depending on their quality.
* Less than Rs. 15,000 per month                   0 - 3
* Between Rs. 15,000-25,000 per month     4 - 7
* More than Rs. 25,000 per month                8 - 10</t>
    </r>
  </si>
  <si>
    <r>
      <rPr>
        <b/>
        <sz val="14"/>
        <color theme="1"/>
        <rFont val="Calibri"/>
        <family val="2"/>
        <scheme val="minor"/>
      </rPr>
      <t>AVERAGE TIME TAKEN TO FIND A JOB (10)</t>
    </r>
    <r>
      <rPr>
        <sz val="14"/>
        <color theme="1"/>
        <rFont val="Calibri"/>
        <family val="2"/>
        <scheme val="minor"/>
      </rPr>
      <t xml:space="preserve">
The time taken after graduation to find a job is a reflection on the quality of the graduate.
* More than 12 months              0 - 3
* Between 6 and 12 months     4 - 7
* Less than 6 months                   8 - 10</t>
    </r>
  </si>
  <si>
    <r>
      <rPr>
        <b/>
        <sz val="14"/>
        <color theme="1"/>
        <rFont val="Calibri"/>
        <family val="2"/>
        <scheme val="minor"/>
      </rPr>
      <t xml:space="preserve">HEC/PCATP GUIDELINES (20) </t>
    </r>
    <r>
      <rPr>
        <sz val="14"/>
        <color theme="1"/>
        <rFont val="Calibri"/>
        <family val="2"/>
        <scheme val="minor"/>
      </rPr>
      <t xml:space="preserve">
Higher Education Commission (HEC) has approved the syllabi of all major Architecture / Town Planning programs taught in Pakistan as the minimum guidelines. While imparting education, the institution may avail the flexibility of diversification based on the changes taking place internationally but with due consideration to the minimum requirements set by the HEC. 
The HEC and PCATP have also agreed on the contents of Architecture/Town Planner and Non-Architecture/Town Planner courses as 65-70% and 30-35%, respectively. 
* Not well structured and not in line with HEC/PCATP Guidelines                                0 - 9
* Closely structured to the HEC/PCATP requirements                                                  10 - 15
* Well structured and rich in contents as compared to HEC/PCATP Guidelines     16 - 20</t>
    </r>
  </si>
  <si>
    <r>
      <rPr>
        <b/>
        <sz val="14"/>
        <color theme="1"/>
        <rFont val="Calibri"/>
        <family val="2"/>
        <scheme val="minor"/>
      </rPr>
      <t>ADEQUACY AND QUALITY OF EQUIPMENT AVAILABLE IN THE STUDIOS, COMPUTER LABS AND WORKSHOPS and Building Material Labs (40)</t>
    </r>
    <r>
      <rPr>
        <sz val="14"/>
        <color theme="1"/>
        <rFont val="Calibri"/>
        <family val="2"/>
        <scheme val="minor"/>
      </rPr>
      <t xml:space="preserve">
* Not available / non - operational / low quality                   0 - 8
* Inadequate and partly operational / medium quality   9 - 24
* Adequate, fully operational and good quality               25 - 40</t>
    </r>
  </si>
  <si>
    <r>
      <rPr>
        <b/>
        <sz val="14"/>
        <color theme="1"/>
        <rFont val="Calibri"/>
        <family val="2"/>
        <scheme val="minor"/>
      </rPr>
      <t>ADMISSIONS (20)</t>
    </r>
    <r>
      <rPr>
        <sz val="14"/>
        <color theme="1"/>
        <rFont val="Calibri"/>
        <family val="2"/>
        <scheme val="minor"/>
      </rPr>
      <t xml:space="preserve">
It is to be examined whether the students are admitted in accordance with minimum eligibility conditions prescribed by the PCATP and whether the merit is strictly followed. The PCATP has set the following minimum requirements for admission into an Architecture / Town Planning program:
• Matric/O-level (with science)    : 60%
• F.Sc./A-level (pre-Architecture / Town Planning / Computer Science) : 60%
• Entry test      : 70% (pass marks)
• Interview: 100% Qualify
* (&lt; 60 %)                  0 - 6
* (60–70 %)             7 - 12 
* (Above 70%)       13 - 20</t>
    </r>
  </si>
  <si>
    <r>
      <rPr>
        <b/>
        <sz val="14"/>
        <color theme="1"/>
        <rFont val="Calibri"/>
        <family val="2"/>
        <scheme val="minor"/>
      </rPr>
      <t>THEORY (10)</t>
    </r>
    <r>
      <rPr>
        <sz val="14"/>
        <color theme="1"/>
        <rFont val="Calibri"/>
        <family val="2"/>
        <scheme val="minor"/>
      </rPr>
      <t xml:space="preserve">
This aspect pertains to the number of students per section. For Architecture / Town Planning subjects, the class size must not exceed 30 students. For non-Architecture / Town Planning subjects, bigger class of 60-70 students may be allowed but only with appropriate infrastructural support.
* Too large         (&gt;80)                0
* Large                (70–80)      1 - 3
* Manageable   (60–70)      4 - 7
* Correct size     (&lt; 40)       8 - 10</t>
    </r>
  </si>
  <si>
    <t>OVERALL  SCORE  OUT  OF  1250</t>
  </si>
  <si>
    <t>TOTAL  SCORE  OF  SECTION  B     OUT  OF  490  =</t>
  </si>
  <si>
    <t>Mandatory Requirements as per PCATP Guidelines For Minimum Requirements For Accreditation</t>
  </si>
  <si>
    <t>Obtained Score</t>
  </si>
  <si>
    <t>Result</t>
  </si>
  <si>
    <t>Total Score of Mandatory Requirements</t>
  </si>
  <si>
    <t>TOTAL  SCORE  OF  SECTION  A     OUT  OF  760  =</t>
  </si>
  <si>
    <t>TOTAL  SCORE  OF  SECTION  C-1  OUT  OF  142  =</t>
  </si>
  <si>
    <t>TOTAL  SCORE  OF  SECTION  C-2  OUT  OF   38  =</t>
  </si>
  <si>
    <t>OVER All RESULT</t>
  </si>
  <si>
    <r>
      <rPr>
        <b/>
        <sz val="14"/>
        <color theme="1"/>
        <rFont val="Calibri"/>
        <family val="2"/>
        <scheme val="minor"/>
      </rPr>
      <t xml:space="preserve">SUBJECT-TEACHER RATIO/CREDIT HOURS (15) </t>
    </r>
    <r>
      <rPr>
        <sz val="14"/>
        <color theme="1"/>
        <rFont val="Calibri"/>
        <family val="2"/>
        <scheme val="minor"/>
      </rPr>
      <t xml:space="preserve">
The concept of subject - teacher ratio pertains to the annual system of instructions and examination. For semester system, the faculty loading is defined in terms of credit-hours per week. The PCATP plans to get the system of education fully semesterised by September 2010. For the time being however, both criteria need to be considered.
</t>
    </r>
    <r>
      <rPr>
        <b/>
        <sz val="14"/>
        <color theme="1"/>
        <rFont val="Calibri"/>
        <family val="2"/>
        <scheme val="minor"/>
      </rPr>
      <t>SEMESTER SYSTEM</t>
    </r>
    <r>
      <rPr>
        <sz val="14"/>
        <color theme="1"/>
        <rFont val="Calibri"/>
        <family val="2"/>
        <scheme val="minor"/>
      </rPr>
      <t xml:space="preserve">
(Credit-hours / week)
*  (&gt; 14)            0 - 2
*  (12 - 14)        3 - 9
*  (8 - 12)      10 - 15</t>
    </r>
  </si>
  <si>
    <r>
      <rPr>
        <b/>
        <sz val="14"/>
        <color theme="1"/>
        <rFont val="Calibri"/>
        <family val="2"/>
        <scheme val="minor"/>
      </rPr>
      <t>INSTRUCTIONS (15)</t>
    </r>
    <r>
      <rPr>
        <sz val="14"/>
        <color theme="1"/>
        <rFont val="Calibri"/>
        <family val="2"/>
        <scheme val="minor"/>
      </rPr>
      <t xml:space="preserve">
</t>
    </r>
    <r>
      <rPr>
        <b/>
        <sz val="14"/>
        <color theme="1"/>
        <rFont val="Calibri"/>
        <family val="2"/>
        <scheme val="minor"/>
      </rPr>
      <t>SEMESTER SYSTEM</t>
    </r>
    <r>
      <rPr>
        <sz val="14"/>
        <color theme="1"/>
        <rFont val="Calibri"/>
        <family val="2"/>
        <scheme val="minor"/>
      </rPr>
      <t xml:space="preserve">
* Unsatisfactory       0
* Satisfactory      1 – 5
* Good                6 – 10
* Excellent       11 – 15</t>
    </r>
  </si>
  <si>
    <r>
      <rPr>
        <b/>
        <sz val="14"/>
        <color theme="1"/>
        <rFont val="Calibri"/>
        <family val="2"/>
        <scheme val="minor"/>
      </rPr>
      <t>EXAMINATION (25)</t>
    </r>
    <r>
      <rPr>
        <sz val="14"/>
        <color theme="1"/>
        <rFont val="Calibri"/>
        <family val="2"/>
        <scheme val="minor"/>
      </rPr>
      <t xml:space="preserve">
</t>
    </r>
    <r>
      <rPr>
        <b/>
        <sz val="14"/>
        <color theme="1"/>
        <rFont val="Calibri"/>
        <family val="2"/>
        <scheme val="minor"/>
      </rPr>
      <t>SEMESTER SYSTEM</t>
    </r>
    <r>
      <rPr>
        <sz val="14"/>
        <color theme="1"/>
        <rFont val="Calibri"/>
        <family val="2"/>
        <scheme val="minor"/>
      </rPr>
      <t xml:space="preserve">
* Unsatisfactory         0
* Satisfactory        1 – 7
* Good                  8 – 15
* Excellent        16 – 25</t>
    </r>
  </si>
  <si>
    <r>
      <rPr>
        <b/>
        <sz val="14"/>
        <color theme="1"/>
        <rFont val="Calibri"/>
        <family val="2"/>
        <scheme val="minor"/>
      </rPr>
      <t>NET INSTRUCTIONAL HOURS (10)</t>
    </r>
    <r>
      <rPr>
        <sz val="14"/>
        <color theme="1"/>
        <rFont val="Calibri"/>
        <family val="2"/>
        <scheme val="minor"/>
      </rPr>
      <t xml:space="preserve">
This aspect pertains to the total contact hours committed to theory and studio practical work for effective teaching of different subjects. The length of a semester should be 16-20 weeks.
* Insufficient                                                   0 - 2
* Sufficient (close to PCATP guidelines)   3 - 5
* More than PCATP guidelines                6 - 10</t>
    </r>
  </si>
  <si>
    <r>
      <rPr>
        <b/>
        <sz val="14"/>
        <color theme="1"/>
        <rFont val="Calibri"/>
        <family val="2"/>
        <scheme val="minor"/>
      </rPr>
      <t>STUDENTS' FEEDBACK (10)</t>
    </r>
    <r>
      <rPr>
        <sz val="14"/>
        <color theme="1"/>
        <rFont val="Calibri"/>
        <family val="2"/>
        <scheme val="minor"/>
      </rPr>
      <t xml:space="preserve">
This aspect pertains to the performance evaluation of the faculty members through feedback of students at the end of each semester.
* No system in place                                         0
* System in place but not effective          1 - 5
* System in place and highly effective   6 - 10</t>
    </r>
  </si>
  <si>
    <r>
      <rPr>
        <b/>
        <sz val="14"/>
        <color theme="1"/>
        <rFont val="Calibri"/>
        <family val="2"/>
        <scheme val="minor"/>
      </rPr>
      <t>BUILDINGS (15)</t>
    </r>
    <r>
      <rPr>
        <sz val="14"/>
        <color theme="1"/>
        <rFont val="Calibri"/>
        <family val="2"/>
        <scheme val="minor"/>
      </rPr>
      <t xml:space="preserve">
This relates to central and departmental building infrastructure in the context of academic and administrative requirements.
* Inadequate                   0 - 5
* Adequate                      6 - 8
* More than adequate    9 - 15</t>
    </r>
  </si>
  <si>
    <t>BUILDINGS (15)</t>
  </si>
  <si>
    <r>
      <rPr>
        <b/>
        <sz val="14"/>
        <color theme="1"/>
        <rFont val="Calibri"/>
        <family val="2"/>
        <scheme val="minor"/>
      </rPr>
      <t>AVERAGE DURATION [10]</t>
    </r>
    <r>
      <rPr>
        <sz val="14"/>
        <color theme="1"/>
        <rFont val="Calibri"/>
        <family val="2"/>
        <scheme val="minor"/>
      </rPr>
      <t xml:space="preserve">
This aspect pertains to the actual number of calendar years actually spent for graduation with respect to the minimum prescribed time limit.
* Unduly long                                                          (&gt;7 years).         0 - 2
* Longer than minimum prescribed duration      (4 or 6 years)    3 - 7
* Within minimum prescribed duration               (5 years).          8 - 10</t>
    </r>
  </si>
  <si>
    <t>APPARENT QUALITY OF FACULTY (25)</t>
  </si>
  <si>
    <t>Program (AR / TP)</t>
  </si>
  <si>
    <t>CURRICULUM (20)</t>
  </si>
  <si>
    <r>
      <rPr>
        <b/>
        <sz val="14"/>
        <color theme="1"/>
        <rFont val="Times New Roman"/>
        <family val="1"/>
      </rPr>
      <t>SYSTEM OF INSTRUCTIONS AND EXAMINATIONS (AS EVIDENT BY COURSE FILES) (40)</t>
    </r>
    <r>
      <rPr>
        <sz val="14"/>
        <color theme="1"/>
        <rFont val="Times New Roman"/>
        <family val="1"/>
      </rPr>
      <t xml:space="preserve">
The semester system is universally followed for obvious advantages it offers over the annual system. The semester system will become more successful as we improve the quality of faculty. All Architecture / Town Planning institutions will be required to convert to the semester system by Sept. 2010 when 100% faculty members except lecturer (B.Arch) will be required to have Masters degrees. Therefore, the universities are encouraged to make necessary planning to achieve the target. Another deficiency in the examination of annual system lies in the form of choice, which allows selective study. This must be done away with latest by March 2009. The bi-annual system should be converted to the semester system at the earliest.</t>
    </r>
  </si>
  <si>
    <t>SYSTEM OF INSTRUCTIONS AND EXAMINATIONS (AS EVIDENT BY COURSE FILES) [40]</t>
  </si>
  <si>
    <t>COMPLETION OF COURSES [40]</t>
  </si>
  <si>
    <r>
      <rPr>
        <b/>
        <sz val="14"/>
        <color theme="1"/>
        <rFont val="Calibri"/>
        <family val="2"/>
        <scheme val="minor"/>
      </rPr>
      <t>PERCEPTION OF STUDENTS [35]</t>
    </r>
    <r>
      <rPr>
        <sz val="14"/>
        <color theme="1"/>
        <rFont val="Calibri"/>
        <family val="2"/>
        <scheme val="minor"/>
      </rPr>
      <t xml:space="preserve">
This information may be gathered from the random sampling of students in independent environment.</t>
    </r>
  </si>
  <si>
    <t>PERCEPTION OF STUDENTS [35]</t>
  </si>
  <si>
    <r>
      <t xml:space="preserve">Instruction: Only Fill The </t>
    </r>
    <r>
      <rPr>
        <b/>
        <sz val="20"/>
        <color rgb="FFFFFF00"/>
        <rFont val="Calibri"/>
        <family val="2"/>
        <scheme val="minor"/>
      </rPr>
      <t>Yellow</t>
    </r>
    <r>
      <rPr>
        <b/>
        <sz val="20"/>
        <color theme="0"/>
        <rFont val="Calibri"/>
        <family val="2"/>
        <scheme val="minor"/>
      </rPr>
      <t xml:space="preserve"> Highlighted Cells Below By Choosing The Respective Scale Given in Question</t>
    </r>
  </si>
  <si>
    <r>
      <t xml:space="preserve">Instruction: Only Fill The </t>
    </r>
    <r>
      <rPr>
        <b/>
        <sz val="18"/>
        <color rgb="FFFFFF00"/>
        <rFont val="Calibri"/>
        <family val="2"/>
        <scheme val="minor"/>
      </rPr>
      <t>Yellow</t>
    </r>
    <r>
      <rPr>
        <b/>
        <sz val="18"/>
        <color theme="0"/>
        <rFont val="Calibri"/>
        <family val="2"/>
        <scheme val="minor"/>
      </rPr>
      <t xml:space="preserve"> Highlighted Cells Below</t>
    </r>
  </si>
  <si>
    <r>
      <t xml:space="preserve">Instruction: Only Fill The </t>
    </r>
    <r>
      <rPr>
        <b/>
        <sz val="14"/>
        <color rgb="FFFFFF00"/>
        <rFont val="Calibri"/>
        <family val="2"/>
        <scheme val="minor"/>
      </rPr>
      <t>Yellow</t>
    </r>
    <r>
      <rPr>
        <b/>
        <sz val="14"/>
        <color theme="0"/>
        <rFont val="Calibri"/>
        <family val="2"/>
        <scheme val="minor"/>
      </rPr>
      <t xml:space="preserve"> Highlighted Cells Below</t>
    </r>
  </si>
  <si>
    <t xml:space="preserve">University Name: </t>
  </si>
  <si>
    <t>GENERAL OBSERVATIONS:</t>
  </si>
  <si>
    <t>Guidelines AC 2 For Universities Self Assessment</t>
  </si>
  <si>
    <r>
      <rPr>
        <b/>
        <sz val="14"/>
        <color theme="1"/>
        <rFont val="Calibri"/>
        <family val="2"/>
        <scheme val="minor"/>
      </rPr>
      <t>FACULTY PUBLICATIONS IN HEC / PCATP APPROVED JOURNALS (30)</t>
    </r>
    <r>
      <rPr>
        <sz val="14"/>
        <color theme="1"/>
        <rFont val="Calibri"/>
        <family val="2"/>
        <scheme val="minor"/>
      </rPr>
      <t xml:space="preserve">
Research is very important for a dynamic program. In a year, each faculty member is expected to publish at least 1 - 2 good papers in a reputed referred journal, approved by HEC and PCATP.
* Nil                             0
* Reasonable       1 - 15
* Good               16 - 30</t>
    </r>
  </si>
  <si>
    <r>
      <rPr>
        <b/>
        <sz val="14"/>
        <color theme="1"/>
        <rFont val="Calibri"/>
        <family val="2"/>
        <scheme val="minor"/>
      </rPr>
      <t>BOOKS (30)</t>
    </r>
    <r>
      <rPr>
        <sz val="14"/>
        <color theme="1"/>
        <rFont val="Calibri"/>
        <family val="2"/>
        <scheme val="minor"/>
      </rPr>
      <t xml:space="preserve">
This aspect pertains to the availability of various volumes available in the central library which should include books published within the last 10 years, pertaining to different disciplines of the institution. A minimum of 3,000 distinct books and priodicals prescribes by HEC and PCATP should be available relevant to the Program.
* No book.                            0
* Insufficient books      1 - 12
* Sufficient books       13 - 30</t>
    </r>
  </si>
  <si>
    <t>OVER  All  FINAL  RESULT  OF  GUIDELINES  AC  2  FOR  UNIVERSITIES  SELF  ASSESSMENT</t>
  </si>
  <si>
    <t>Plotter, Printer &amp; Scanner For Students Use (Yes / No)</t>
  </si>
  <si>
    <r>
      <rPr>
        <b/>
        <sz val="14"/>
        <color theme="1"/>
        <rFont val="Calibri"/>
        <family val="2"/>
        <scheme val="minor"/>
      </rPr>
      <t>QUALIFICATION OF STAFF IN STUDIOS / COMPUTER LAB / WORKSHOP / MODEL MAKING &amp; BUILDING MATERIAL LABS (10)</t>
    </r>
    <r>
      <rPr>
        <sz val="14"/>
        <color theme="1"/>
        <rFont val="Calibri"/>
        <family val="2"/>
        <scheme val="minor"/>
      </rPr>
      <t xml:space="preserve">
The PCATP strongly recommends that each major laboratory must be supervised by a qualified architect / engineer who should be supported by a diploma holder in relevant technology.   
* Unqualified (Matriculate) with adequate experience    0 - 3
* Poorly qualified (Matriculate + DAEs)                                 4 - 7
* Well qualified (B.E. / B.ARCH + DAEs)                                8 - 10</t>
    </r>
  </si>
  <si>
    <r>
      <rPr>
        <b/>
        <sz val="14"/>
        <color theme="1"/>
        <rFont val="Calibri"/>
        <family val="2"/>
        <scheme val="minor"/>
      </rPr>
      <t>EMPLOYER’S OPINION (25)</t>
    </r>
    <r>
      <rPr>
        <sz val="14"/>
        <color theme="1"/>
        <rFont val="Calibri"/>
        <family val="2"/>
        <scheme val="minor"/>
      </rPr>
      <t xml:space="preserve">
The quality of architect produced by an institution may be assessed on the basis of market survey made by the end - users, Public Service Commission, employers and hired consultants etc.
* Not good                     0 - 3
* Reasonably good      4 - 11
* Very Good                12 - 17
* Excellent                   18 - 25</t>
    </r>
  </si>
  <si>
    <t>y</t>
  </si>
  <si>
    <t>Research Methods</t>
  </si>
  <si>
    <t>Architecture Seminar</t>
  </si>
  <si>
    <t>Engineering Systems</t>
  </si>
  <si>
    <t>Visual Communication and Media/ Communication and Cultural Studies</t>
  </si>
  <si>
    <t>Culture and Architecture</t>
  </si>
  <si>
    <t>History of Ideas/ History of Art &amp; Architecture</t>
  </si>
  <si>
    <t>Foundation Drawing/ Free Hand Drawing</t>
  </si>
  <si>
    <t>Computer Aided Drsign</t>
  </si>
  <si>
    <t>Sustainable Design/ Sustainable System</t>
  </si>
  <si>
    <t>Communication &amp; Visual Studies</t>
  </si>
  <si>
    <r>
      <rPr>
        <b/>
        <sz val="11"/>
        <color theme="1"/>
        <rFont val="Calibri"/>
        <family val="2"/>
        <scheme val="minor"/>
      </rPr>
      <t>GUIDELINES RELATED TO MINIMUM REQUIREMENTS FOR ACCREDITATION</t>
    </r>
    <r>
      <rPr>
        <sz val="11"/>
        <color theme="1"/>
        <rFont val="Calibri"/>
        <family val="2"/>
        <scheme val="minor"/>
      </rPr>
      <t xml:space="preserve">
</t>
    </r>
    <r>
      <rPr>
        <b/>
        <sz val="11"/>
        <color theme="1"/>
        <rFont val="Calibri"/>
        <family val="2"/>
        <scheme val="minor"/>
      </rPr>
      <t xml:space="preserve">
• Infrastructure: </t>
    </r>
    <r>
      <rPr>
        <sz val="11"/>
        <color theme="1"/>
        <rFont val="Calibri"/>
        <family val="2"/>
        <scheme val="minor"/>
      </rPr>
      <t xml:space="preserve">
i. 5 studios minimum (maximum student teacher ratio to be 15 : 1) at 1200 square feet each for 30 students. 
ii. A computer lab to accommodate at least 30 students containing a plotter and printer for student use. 
iii. A library containing at least 3000 volumes including the HEC recommended ones (this can include periodicals).   
iv. 2 lecture halls to accommodate at least 30 students (more if average class size is larger) at 600 square feet each. 
v. 1 model making workshop(for architecture program only)
</t>
    </r>
    <r>
      <rPr>
        <b/>
        <sz val="11"/>
        <color theme="1"/>
        <rFont val="Calibri"/>
        <family val="2"/>
        <scheme val="minor"/>
      </rPr>
      <t xml:space="preserve">• Resources: </t>
    </r>
    <r>
      <rPr>
        <sz val="11"/>
        <color theme="1"/>
        <rFont val="Calibri"/>
        <family val="2"/>
        <scheme val="minor"/>
      </rPr>
      <t xml:space="preserve">
vi. Faculty: should consist of at least 7 full time faculty for Architecture programs and 6 for Town Planning programs. In the event of 7 they should be divided as per 1 lecturer, 3 Assistant Professors, 2 Associate Professor and 1 Professor. In Town Planning programs there should be 2 Lecturers, 2 Assistant Professor, 1 Associate Professor and 1 Professor. 
vii. PCATP is looking for a balance of senior, junior fulltime/visiting faculty to ensure imparting quality architectural education.
viii. All faculty should atleast be Masters degree holder from Foreign / PCATP accredited program.
ix. All faculty must be member of PCATP</t>
    </r>
  </si>
  <si>
    <r>
      <rPr>
        <b/>
        <sz val="14"/>
        <color theme="1"/>
        <rFont val="Calibri"/>
        <family val="2"/>
        <scheme val="minor"/>
      </rPr>
      <t>STRENGTH AND QUALITY OF FACULTY</t>
    </r>
    <r>
      <rPr>
        <sz val="14"/>
        <color theme="1"/>
        <rFont val="Calibri"/>
        <family val="2"/>
        <scheme val="minor"/>
      </rPr>
      <t xml:space="preserve">
This aspect pertains to the faculty employed. The faculty members who are full-time employees dedicated to the program would be considered as permanent faculty. </t>
    </r>
    <r>
      <rPr>
        <b/>
        <sz val="14"/>
        <color theme="1"/>
        <rFont val="Calibri"/>
        <family val="2"/>
        <scheme val="minor"/>
      </rPr>
      <t>Full- time also means that the faculty has served the institution atleast for a minimum of two years.
2 Shared Faculty = 1 Full Time Faculty
3 Visiting Faculty = 1 Full Time Faculty.</t>
    </r>
  </si>
  <si>
    <t xml:space="preserve">GUIDELINES for Inspection Team RELATED TO COMPLEMENTARY REQUIREMENTS FOR ACCREDITATION
• To qualify for accreditation, overall qualifying marks for both sections (A &amp; B) should not be less than 50%.
• In case of obtaining less than 50% marks specifically in item number (3) Faculty, the program may not be accredited.
• In case of obtaining less than 50% aggregate score in item number (5) Computer Lab, Studios, and allied staff, (6) Library, (7) Standards &amp; quality of instructions and (8) Students, the program may also be disqualified for accreditation.
</t>
  </si>
  <si>
    <t>No, of Students &amp; Teachers in First Year</t>
  </si>
  <si>
    <t>No, of Students &amp; Teachers in Second Year</t>
  </si>
  <si>
    <t>No, of Students &amp; Teachers in Third Year</t>
  </si>
  <si>
    <t>No, of Students &amp; Teachers in Fourth Year</t>
  </si>
  <si>
    <t>No, of Students &amp; Teachers in Fifth Year</t>
  </si>
  <si>
    <t>M5-4</t>
  </si>
  <si>
    <t>Shared Lecture Halls( Yes/No)</t>
  </si>
  <si>
    <r>
      <rPr>
        <b/>
        <sz val="14"/>
        <color theme="1"/>
        <rFont val="Calibri"/>
        <family val="2"/>
        <scheme val="minor"/>
      </rPr>
      <t>APPARENT QUALITY OF FACULTY [25]</t>
    </r>
    <r>
      <rPr>
        <sz val="14"/>
        <color theme="1"/>
        <rFont val="Calibri"/>
        <family val="2"/>
        <scheme val="minor"/>
      </rPr>
      <t xml:space="preserve">
This aspect pertains to the Apparent Quality of Faculty. Inspectors may judge and evaluate the quality of faculty by observing their skills, behaviour and responsiveness during Presentations and  Meetings.
* Existing but not stable          1 - 8
* Stable                                   9 - 17
* Highly stable                       18 - 25</t>
    </r>
  </si>
  <si>
    <r>
      <rPr>
        <b/>
        <sz val="14"/>
        <color theme="1"/>
        <rFont val="Calibri"/>
        <family val="2"/>
        <scheme val="minor"/>
      </rPr>
      <t>FULL-TIME FACULTY (45)</t>
    </r>
    <r>
      <rPr>
        <sz val="14"/>
        <color theme="1"/>
        <rFont val="Calibri"/>
        <family val="2"/>
        <scheme val="minor"/>
      </rPr>
      <t xml:space="preserve">
This aspect pertains to regular, full-time faculty teaching core subjects based on 15:1 student/teacher ratio for UG programs. Separately, the team will examine the faculty dealing with design studios/worjshops, allied sciences and technolgies,history , theory and  professional practice and communication tools. 
* Poorly staffed            (16 : 1 or more)      0 - 9
* Adequately staffed  (10 - 15 : 1)           10 - 30
* Well staffed               (5 - 10 : 1)             31 - 45</t>
    </r>
  </si>
  <si>
    <r>
      <rPr>
        <b/>
        <sz val="14"/>
        <color theme="1"/>
        <rFont val="Calibri"/>
        <family val="2"/>
        <scheme val="minor"/>
      </rPr>
      <t>ACADEMIC QUALIFICATION (40)</t>
    </r>
    <r>
      <rPr>
        <sz val="14"/>
        <color theme="1"/>
        <rFont val="Calibri"/>
        <family val="2"/>
        <scheme val="minor"/>
      </rPr>
      <t xml:space="preserve">
This aspect pertains to the HEC/PCATP-recognized degrees of regular/full-time faculty members. </t>
    </r>
    <r>
      <rPr>
        <b/>
        <u/>
        <sz val="14"/>
        <color theme="1"/>
        <rFont val="Calibri"/>
        <family val="2"/>
        <scheme val="minor"/>
      </rPr>
      <t>All faculty members (Prof., Assoc Prof. &amp; Asst Prof.) should have Masters degrees from Foreign or from HEC/PCATP approved Masters Degree Program from 2018 and onwards.</t>
    </r>
    <r>
      <rPr>
        <sz val="14"/>
        <color theme="1"/>
        <rFont val="Calibri"/>
        <family val="2"/>
        <scheme val="minor"/>
      </rPr>
      <t>The universities are encouraged to determine the number of faculty members on professorial ranks (i.e. Prof., Assoc. Prof. and Asst. Prof.) without a bar on the ratio among different ranks to encourage promotion to deserving candidates.
* Weak Faculty                0 - 12
* Reasonable Faculty   13 - 25
* Strong Faculty             26 - 40</t>
    </r>
  </si>
  <si>
    <t xml:space="preserve">Architecture Programs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</si>
</sst>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22" x14ac:knownFonts="1">
    <font>
      <sz val="11"/>
      <color theme="1"/>
      <name val="Calibri"/>
      <family val="2"/>
      <scheme val="minor"/>
    </font>
    <font>
      <sz val="11"/>
      <color theme="1"/>
      <name val="Calibri"/>
      <family val="2"/>
      <scheme val="minor"/>
    </font>
    <font>
      <b/>
      <sz val="14"/>
      <color theme="1"/>
      <name val="Calibri"/>
      <family val="2"/>
      <scheme val="minor"/>
    </font>
    <font>
      <b/>
      <sz val="14"/>
      <color theme="1"/>
      <name val="Times New Roman"/>
      <family val="1"/>
    </font>
    <font>
      <b/>
      <sz val="11"/>
      <color theme="1"/>
      <name val="Calibri"/>
      <family val="2"/>
      <scheme val="minor"/>
    </font>
    <font>
      <sz val="14"/>
      <color theme="1"/>
      <name val="Calibri"/>
      <family val="2"/>
      <scheme val="minor"/>
    </font>
    <font>
      <b/>
      <sz val="18"/>
      <color theme="1"/>
      <name val="Calibri"/>
      <family val="2"/>
      <scheme val="minor"/>
    </font>
    <font>
      <b/>
      <sz val="12"/>
      <name val="Calibri"/>
      <family val="2"/>
      <scheme val="minor"/>
    </font>
    <font>
      <b/>
      <sz val="10"/>
      <name val="Calibri"/>
      <family val="2"/>
      <scheme val="minor"/>
    </font>
    <font>
      <sz val="10"/>
      <name val="Calibri"/>
      <family val="2"/>
      <scheme val="minor"/>
    </font>
    <font>
      <b/>
      <u/>
      <sz val="14"/>
      <color theme="1"/>
      <name val="Times New Roman"/>
      <family val="1"/>
    </font>
    <font>
      <b/>
      <sz val="16"/>
      <color theme="1"/>
      <name val="Calibri"/>
      <family val="2"/>
      <scheme val="minor"/>
    </font>
    <font>
      <b/>
      <u/>
      <sz val="14"/>
      <color theme="1"/>
      <name val="Calibri"/>
      <family val="2"/>
      <scheme val="minor"/>
    </font>
    <font>
      <sz val="14"/>
      <color theme="1"/>
      <name val="Times New Roman"/>
      <family val="1"/>
    </font>
    <font>
      <b/>
      <sz val="18"/>
      <color rgb="FFFFFF00"/>
      <name val="Calibri"/>
      <family val="2"/>
      <scheme val="minor"/>
    </font>
    <font>
      <b/>
      <sz val="18"/>
      <color theme="0"/>
      <name val="Calibri"/>
      <family val="2"/>
      <scheme val="minor"/>
    </font>
    <font>
      <b/>
      <sz val="20"/>
      <color theme="0"/>
      <name val="Calibri"/>
      <family val="2"/>
      <scheme val="minor"/>
    </font>
    <font>
      <b/>
      <sz val="20"/>
      <color rgb="FFFFFF00"/>
      <name val="Calibri"/>
      <family val="2"/>
      <scheme val="minor"/>
    </font>
    <font>
      <b/>
      <sz val="14"/>
      <color theme="0"/>
      <name val="Calibri"/>
      <family val="2"/>
      <scheme val="minor"/>
    </font>
    <font>
      <b/>
      <sz val="14"/>
      <color rgb="FFFFFF00"/>
      <name val="Calibri"/>
      <family val="2"/>
      <scheme val="minor"/>
    </font>
    <font>
      <sz val="11"/>
      <name val="Calibri"/>
      <family val="2"/>
      <scheme val="minor"/>
    </font>
    <font>
      <b/>
      <sz val="2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28">
    <xf numFmtId="0" fontId="0" fillId="0" borderId="0" xfId="0"/>
    <xf numFmtId="0" fontId="2" fillId="0" borderId="0" xfId="1" applyNumberFormat="1" applyFont="1" applyAlignment="1">
      <alignment horizontal="center" vertical="center"/>
    </xf>
    <xf numFmtId="164" fontId="0" fillId="0" borderId="0" xfId="1" applyNumberFormat="1" applyFont="1"/>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164" fontId="9" fillId="0" borderId="1" xfId="1" applyNumberFormat="1" applyFont="1" applyFill="1" applyBorder="1" applyAlignment="1">
      <alignment horizontal="center" vertical="center" wrapText="1"/>
    </xf>
    <xf numFmtId="0" fontId="4" fillId="0" borderId="0" xfId="0" applyFont="1"/>
    <xf numFmtId="0" fontId="8" fillId="0"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7" fillId="0" borderId="0" xfId="0" applyFont="1" applyFill="1" applyBorder="1" applyAlignment="1">
      <alignment vertical="top"/>
    </xf>
    <xf numFmtId="0" fontId="0" fillId="0" borderId="0" xfId="0" applyBorder="1"/>
    <xf numFmtId="0" fontId="0" fillId="0" borderId="0" xfId="0" applyFill="1"/>
    <xf numFmtId="0" fontId="2" fillId="0" borderId="1" xfId="0" applyFont="1" applyFill="1" applyBorder="1" applyAlignment="1">
      <alignment horizontal="left" vertical="center" wrapText="1"/>
    </xf>
    <xf numFmtId="0" fontId="2" fillId="0" borderId="0" xfId="1" applyNumberFormat="1" applyFont="1" applyFill="1" applyAlignment="1">
      <alignment horizontal="center" vertical="center"/>
    </xf>
    <xf numFmtId="0" fontId="2" fillId="0" borderId="1" xfId="0" applyFont="1" applyBorder="1"/>
    <xf numFmtId="0" fontId="5" fillId="0" borderId="1" xfId="0" applyFont="1" applyBorder="1"/>
    <xf numFmtId="164" fontId="0" fillId="0" borderId="1" xfId="1" applyNumberFormat="1" applyFont="1" applyBorder="1"/>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0" xfId="1" applyNumberFormat="1" applyFont="1" applyFill="1" applyAlignment="1">
      <alignment horizontal="center" vertical="center" wrapText="1"/>
    </xf>
    <xf numFmtId="0" fontId="10" fillId="0" borderId="0" xfId="0" applyFont="1" applyFill="1" applyAlignment="1">
      <alignment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164" fontId="5" fillId="0" borderId="1" xfId="1"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vertical="center" wrapText="1"/>
    </xf>
    <xf numFmtId="0" fontId="2" fillId="0" borderId="1" xfId="1" applyNumberFormat="1" applyFont="1" applyFill="1" applyBorder="1" applyAlignment="1">
      <alignment vertical="center" wrapText="1"/>
    </xf>
    <xf numFmtId="164" fontId="2"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0" xfId="1" applyNumberFormat="1" applyFont="1" applyFill="1" applyAlignment="1">
      <alignment horizontal="center" vertical="center" wrapText="1"/>
    </xf>
    <xf numFmtId="0" fontId="5" fillId="0" borderId="0" xfId="0" applyFont="1" applyFill="1" applyAlignment="1">
      <alignment horizontal="center" vertical="center" wrapText="1"/>
    </xf>
    <xf numFmtId="164" fontId="5" fillId="0" borderId="0" xfId="1" applyNumberFormat="1" applyFont="1" applyFill="1" applyAlignment="1">
      <alignment horizontal="center" wrapText="1"/>
    </xf>
    <xf numFmtId="0" fontId="5" fillId="0" borderId="0" xfId="0" applyFont="1" applyFill="1" applyAlignment="1">
      <alignment horizontal="center" wrapText="1"/>
    </xf>
    <xf numFmtId="164" fontId="10" fillId="0" borderId="0" xfId="1" applyNumberFormat="1" applyFont="1" applyFill="1" applyAlignment="1">
      <alignment horizontal="center" wrapText="1"/>
    </xf>
    <xf numFmtId="164" fontId="0" fillId="0" borderId="0" xfId="1" applyNumberFormat="1" applyFont="1" applyFill="1" applyAlignment="1">
      <alignment horizontal="center"/>
    </xf>
    <xf numFmtId="0" fontId="0" fillId="0" borderId="0" xfId="0" applyFill="1" applyAlignment="1">
      <alignment horizontal="center"/>
    </xf>
    <xf numFmtId="43" fontId="0" fillId="0" borderId="0" xfId="0" applyNumberFormat="1"/>
    <xf numFmtId="165" fontId="0" fillId="0" borderId="0" xfId="0" applyNumberFormat="1"/>
    <xf numFmtId="0" fontId="2" fillId="0" borderId="1" xfId="1" applyNumberFormat="1" applyFont="1" applyBorder="1" applyAlignment="1">
      <alignment horizontal="left" vertical="center"/>
    </xf>
    <xf numFmtId="0" fontId="2" fillId="0" borderId="1" xfId="1" applyNumberFormat="1" applyFont="1" applyBorder="1" applyAlignment="1">
      <alignment horizontal="center" vertical="center" wrapText="1"/>
    </xf>
    <xf numFmtId="164" fontId="3" fillId="0" borderId="1" xfId="1" applyNumberFormat="1" applyFont="1" applyFill="1" applyBorder="1" applyAlignment="1">
      <alignment horizontal="center" wrapText="1"/>
    </xf>
    <xf numFmtId="10" fontId="3" fillId="0" borderId="1" xfId="1" applyNumberFormat="1" applyFont="1" applyFill="1" applyBorder="1" applyAlignment="1">
      <alignment horizontal="center" wrapText="1"/>
    </xf>
    <xf numFmtId="0" fontId="0" fillId="0" borderId="0" xfId="0" applyFill="1" applyAlignment="1">
      <alignment wrapText="1"/>
    </xf>
    <xf numFmtId="0" fontId="5" fillId="0" borderId="12" xfId="0" applyFont="1" applyFill="1" applyBorder="1"/>
    <xf numFmtId="0" fontId="0" fillId="0" borderId="12" xfId="0" applyBorder="1" applyAlignment="1">
      <alignment horizontal="center"/>
    </xf>
    <xf numFmtId="10" fontId="3" fillId="0" borderId="1" xfId="0" applyNumberFormat="1" applyFont="1" applyFill="1" applyBorder="1" applyAlignment="1">
      <alignment horizontal="center" wrapText="1"/>
    </xf>
    <xf numFmtId="0" fontId="3" fillId="0" borderId="1" xfId="0" applyFont="1" applyFill="1" applyBorder="1" applyAlignment="1">
      <alignment horizontal="right" wrapText="1"/>
    </xf>
    <xf numFmtId="10" fontId="0" fillId="0" borderId="0" xfId="0" applyNumberFormat="1"/>
    <xf numFmtId="164" fontId="0" fillId="0" borderId="0" xfId="0" applyNumberFormat="1"/>
    <xf numFmtId="0" fontId="3" fillId="0" borderId="25" xfId="0" applyFont="1" applyFill="1" applyBorder="1" applyAlignment="1">
      <alignment wrapText="1"/>
    </xf>
    <xf numFmtId="0" fontId="3" fillId="0" borderId="26" xfId="0" applyFont="1" applyFill="1" applyBorder="1" applyAlignment="1">
      <alignment horizontal="center" wrapText="1"/>
    </xf>
    <xf numFmtId="164" fontId="9" fillId="0" borderId="1" xfId="1" applyNumberFormat="1" applyFont="1" applyFill="1" applyBorder="1" applyAlignment="1">
      <alignment vertical="center" wrapText="1"/>
    </xf>
    <xf numFmtId="0" fontId="0" fillId="0" borderId="1" xfId="0" applyBorder="1" applyAlignment="1">
      <alignment horizontal="center" vertical="center" wrapText="1"/>
    </xf>
    <xf numFmtId="0" fontId="2" fillId="0" borderId="0" xfId="1" applyNumberFormat="1" applyFont="1" applyFill="1" applyAlignment="1">
      <alignment vertical="center" wrapText="1"/>
    </xf>
    <xf numFmtId="0" fontId="2" fillId="0" borderId="0" xfId="1" applyNumberFormat="1"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0" fillId="0" borderId="12" xfId="0" applyBorder="1" applyAlignment="1">
      <alignment horizontal="center" vertical="center" wrapText="1"/>
    </xf>
    <xf numFmtId="0" fontId="2" fillId="0" borderId="21" xfId="1" applyNumberFormat="1" applyFont="1" applyFill="1" applyBorder="1" applyAlignment="1">
      <alignment horizontal="center" vertical="center" wrapText="1"/>
    </xf>
    <xf numFmtId="0" fontId="5" fillId="0" borderId="27" xfId="0" applyFont="1" applyFill="1" applyBorder="1" applyAlignment="1">
      <alignment vertical="center" wrapText="1"/>
    </xf>
    <xf numFmtId="0" fontId="0" fillId="0" borderId="28" xfId="0" applyBorder="1" applyAlignment="1">
      <alignment horizontal="center" vertical="center" wrapText="1"/>
    </xf>
    <xf numFmtId="0" fontId="5" fillId="0" borderId="12" xfId="0" applyFont="1" applyFill="1" applyBorder="1" applyAlignment="1">
      <alignment horizontal="left" vertical="center" wrapText="1"/>
    </xf>
    <xf numFmtId="0" fontId="0" fillId="0" borderId="1" xfId="0" applyBorder="1" applyAlignment="1">
      <alignment horizontal="center"/>
    </xf>
    <xf numFmtId="0" fontId="2" fillId="0" borderId="1" xfId="0" applyFont="1" applyBorder="1" applyAlignment="1">
      <alignment horizontal="center"/>
    </xf>
    <xf numFmtId="0" fontId="2" fillId="0" borderId="1" xfId="1" applyNumberFormat="1" applyFont="1" applyBorder="1" applyAlignment="1">
      <alignment horizontal="center" vertical="center"/>
    </xf>
    <xf numFmtId="0" fontId="2" fillId="5" borderId="1" xfId="1" applyNumberFormat="1" applyFont="1" applyFill="1" applyBorder="1" applyAlignment="1">
      <alignment horizontal="center" vertical="center" wrapText="1"/>
    </xf>
    <xf numFmtId="0" fontId="2" fillId="5" borderId="16" xfId="0" applyFont="1" applyFill="1" applyBorder="1" applyAlignment="1">
      <alignment horizontal="center"/>
    </xf>
    <xf numFmtId="0" fontId="2" fillId="5" borderId="17" xfId="0" applyFont="1" applyFill="1" applyBorder="1" applyAlignment="1">
      <alignment horizontal="center"/>
    </xf>
    <xf numFmtId="0" fontId="2" fillId="5" borderId="19" xfId="0" applyFont="1" applyFill="1" applyBorder="1" applyAlignment="1">
      <alignment horizontal="center"/>
    </xf>
    <xf numFmtId="10" fontId="2" fillId="5" borderId="19" xfId="0" applyNumberFormat="1" applyFont="1" applyFill="1" applyBorder="1" applyAlignment="1">
      <alignment horizontal="center"/>
    </xf>
    <xf numFmtId="0" fontId="2" fillId="5" borderId="20"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2" xfId="0" applyFill="1" applyBorder="1" applyAlignment="1">
      <alignment horizontal="center"/>
    </xf>
    <xf numFmtId="0" fontId="2" fillId="5" borderId="25" xfId="1" applyNumberFormat="1" applyFont="1" applyFill="1" applyBorder="1" applyAlignment="1">
      <alignment horizontal="center" vertical="center"/>
    </xf>
    <xf numFmtId="0" fontId="2" fillId="0" borderId="25" xfId="1" applyNumberFormat="1" applyFont="1" applyBorder="1" applyAlignment="1">
      <alignment horizontal="center" vertical="center"/>
    </xf>
    <xf numFmtId="0" fontId="2" fillId="0" borderId="26" xfId="0" applyFont="1" applyBorder="1" applyAlignment="1">
      <alignment horizontal="center"/>
    </xf>
    <xf numFmtId="0" fontId="0" fillId="0" borderId="26" xfId="0" applyBorder="1" applyAlignment="1">
      <alignment horizontal="center"/>
    </xf>
    <xf numFmtId="0" fontId="2" fillId="0" borderId="26" xfId="1" applyNumberFormat="1" applyFont="1" applyBorder="1" applyAlignment="1">
      <alignment horizontal="center" vertical="center"/>
    </xf>
    <xf numFmtId="0" fontId="2" fillId="0" borderId="38" xfId="1" applyNumberFormat="1" applyFont="1" applyBorder="1" applyAlignment="1">
      <alignment horizontal="center" vertical="center"/>
    </xf>
    <xf numFmtId="0" fontId="0" fillId="0" borderId="39" xfId="0" applyBorder="1" applyAlignment="1">
      <alignment horizontal="center"/>
    </xf>
    <xf numFmtId="0" fontId="11" fillId="4" borderId="7" xfId="1" applyNumberFormat="1" applyFont="1" applyFill="1" applyBorder="1" applyAlignment="1">
      <alignment vertical="top" wrapText="1"/>
    </xf>
    <xf numFmtId="0" fontId="11" fillId="4" borderId="9" xfId="1" applyNumberFormat="1" applyFont="1" applyFill="1" applyBorder="1" applyAlignment="1">
      <alignment vertical="top" wrapText="1"/>
    </xf>
    <xf numFmtId="0" fontId="11" fillId="4" borderId="11" xfId="1" applyNumberFormat="1" applyFont="1" applyFill="1" applyBorder="1" applyAlignment="1">
      <alignment vertical="top" wrapText="1"/>
    </xf>
    <xf numFmtId="164" fontId="3" fillId="0" borderId="1" xfId="1" applyNumberFormat="1" applyFont="1" applyFill="1" applyBorder="1" applyAlignment="1">
      <alignment horizontal="center" vertical="center" wrapText="1"/>
    </xf>
    <xf numFmtId="0" fontId="3" fillId="2" borderId="1" xfId="0" applyFont="1" applyFill="1" applyBorder="1" applyAlignment="1">
      <alignment vertical="center" wrapText="1"/>
    </xf>
    <xf numFmtId="164" fontId="9" fillId="2" borderId="1" xfId="1"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64" fontId="0" fillId="6" borderId="2" xfId="0" applyNumberFormat="1" applyFill="1" applyBorder="1" applyAlignment="1"/>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164" fontId="4" fillId="6" borderId="1" xfId="1" applyNumberFormat="1" applyFont="1" applyFill="1" applyBorder="1" applyAlignment="1">
      <alignment vertical="center" wrapText="1"/>
    </xf>
    <xf numFmtId="164" fontId="2" fillId="5" borderId="1" xfId="1" applyNumberFormat="1" applyFont="1" applyFill="1" applyBorder="1" applyAlignment="1">
      <alignment horizontal="center" vertical="center" wrapText="1"/>
    </xf>
    <xf numFmtId="0" fontId="2" fillId="6" borderId="3" xfId="1" applyNumberFormat="1" applyFont="1" applyFill="1" applyBorder="1" applyAlignment="1">
      <alignment vertical="center" wrapText="1"/>
    </xf>
    <xf numFmtId="164" fontId="2" fillId="6" borderId="3" xfId="1" applyNumberFormat="1" applyFont="1" applyFill="1" applyBorder="1" applyAlignment="1">
      <alignment vertical="center" wrapText="1"/>
    </xf>
    <xf numFmtId="0" fontId="2" fillId="6" borderId="4" xfId="1" applyNumberFormat="1"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164" fontId="3" fillId="4" borderId="14" xfId="1"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8" xfId="0" applyFont="1" applyFill="1" applyBorder="1" applyAlignment="1">
      <alignment horizontal="center" wrapText="1"/>
    </xf>
    <xf numFmtId="164" fontId="3" fillId="5" borderId="19" xfId="1" applyNumberFormat="1" applyFont="1" applyFill="1" applyBorder="1" applyAlignment="1">
      <alignment horizontal="center" wrapText="1"/>
    </xf>
    <xf numFmtId="0" fontId="3" fillId="5" borderId="20" xfId="0" applyFont="1" applyFill="1" applyBorder="1" applyAlignment="1">
      <alignment horizont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0" borderId="38" xfId="0" applyFont="1" applyFill="1" applyBorder="1" applyAlignment="1">
      <alignment wrapText="1"/>
    </xf>
    <xf numFmtId="164" fontId="3" fillId="0" borderId="12" xfId="1" applyNumberFormat="1" applyFont="1" applyFill="1" applyBorder="1" applyAlignment="1">
      <alignment horizontal="center" wrapText="1"/>
    </xf>
    <xf numFmtId="10" fontId="3" fillId="0" borderId="12" xfId="1" applyNumberFormat="1" applyFont="1" applyFill="1" applyBorder="1" applyAlignment="1">
      <alignment horizontal="center" wrapText="1"/>
    </xf>
    <xf numFmtId="0" fontId="3" fillId="0" borderId="39" xfId="0" applyFont="1" applyFill="1" applyBorder="1" applyAlignment="1">
      <alignment horizontal="center" wrapText="1"/>
    </xf>
    <xf numFmtId="0" fontId="3" fillId="5" borderId="45" xfId="0" applyFont="1" applyFill="1" applyBorder="1" applyAlignment="1">
      <alignment horizontal="center" wrapText="1"/>
    </xf>
    <xf numFmtId="0" fontId="0" fillId="2" borderId="1" xfId="0" applyFill="1" applyBorder="1" applyAlignment="1">
      <alignment horizontal="center"/>
    </xf>
    <xf numFmtId="0" fontId="20"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vertical="center"/>
    </xf>
    <xf numFmtId="0" fontId="0" fillId="2" borderId="1" xfId="0" applyFill="1" applyBorder="1" applyAlignment="1">
      <alignment horizontal="center"/>
    </xf>
    <xf numFmtId="0" fontId="2" fillId="0" borderId="1" xfId="0" applyFont="1" applyBorder="1" applyAlignment="1">
      <alignment horizontal="center"/>
    </xf>
    <xf numFmtId="0" fontId="6" fillId="6" borderId="25" xfId="1" applyNumberFormat="1" applyFont="1" applyFill="1" applyBorder="1" applyAlignment="1">
      <alignment horizontal="center" vertical="center"/>
    </xf>
    <xf numFmtId="0" fontId="6" fillId="6" borderId="1" xfId="1" applyNumberFormat="1" applyFont="1" applyFill="1" applyBorder="1" applyAlignment="1">
      <alignment horizontal="center" vertical="center"/>
    </xf>
    <xf numFmtId="0" fontId="6" fillId="6" borderId="26" xfId="1" applyNumberFormat="1" applyFont="1" applyFill="1" applyBorder="1" applyAlignment="1">
      <alignment horizontal="center" vertical="center"/>
    </xf>
    <xf numFmtId="0" fontId="0" fillId="2" borderId="2" xfId="0" applyFill="1" applyBorder="1" applyAlignment="1">
      <alignment horizontal="center"/>
    </xf>
    <xf numFmtId="0" fontId="0" fillId="2" borderId="4" xfId="0" applyFill="1" applyBorder="1" applyAlignment="1">
      <alignment horizontal="center"/>
    </xf>
    <xf numFmtId="0" fontId="15" fillId="3" borderId="36" xfId="1" applyNumberFormat="1" applyFont="1" applyFill="1" applyBorder="1" applyAlignment="1">
      <alignment horizontal="center" vertical="center"/>
    </xf>
    <xf numFmtId="0" fontId="15" fillId="3" borderId="3" xfId="1" applyNumberFormat="1" applyFont="1" applyFill="1" applyBorder="1" applyAlignment="1">
      <alignment horizontal="center" vertical="center"/>
    </xf>
    <xf numFmtId="0" fontId="15" fillId="3" borderId="37" xfId="1"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21"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2" fillId="6" borderId="21" xfId="1" applyNumberFormat="1" applyFont="1" applyFill="1" applyBorder="1" applyAlignment="1">
      <alignment horizontal="center" vertical="center"/>
    </xf>
    <xf numFmtId="0" fontId="2" fillId="6" borderId="22" xfId="1" applyNumberFormat="1" applyFont="1" applyFill="1" applyBorder="1" applyAlignment="1">
      <alignment horizontal="center" vertical="center"/>
    </xf>
    <xf numFmtId="0" fontId="2" fillId="6" borderId="23" xfId="1" applyNumberFormat="1" applyFont="1" applyFill="1" applyBorder="1" applyAlignment="1">
      <alignment horizontal="center" vertical="center"/>
    </xf>
    <xf numFmtId="0" fontId="2" fillId="6" borderId="24" xfId="1" applyNumberFormat="1" applyFont="1" applyFill="1" applyBorder="1" applyAlignment="1">
      <alignment horizontal="center" vertical="center"/>
    </xf>
    <xf numFmtId="0" fontId="21" fillId="4" borderId="31" xfId="0" applyFont="1" applyFill="1" applyBorder="1" applyAlignment="1">
      <alignment horizontal="center"/>
    </xf>
    <xf numFmtId="0" fontId="2" fillId="6" borderId="36" xfId="1" applyNumberFormat="1" applyFont="1" applyFill="1" applyBorder="1" applyAlignment="1">
      <alignment horizontal="center" vertical="center"/>
    </xf>
    <xf numFmtId="0" fontId="2" fillId="6" borderId="3" xfId="1" applyNumberFormat="1" applyFont="1" applyFill="1" applyBorder="1" applyAlignment="1">
      <alignment horizontal="center" vertical="center"/>
    </xf>
    <xf numFmtId="0" fontId="2" fillId="6" borderId="37" xfId="1" applyNumberFormat="1" applyFont="1" applyFill="1" applyBorder="1" applyAlignment="1">
      <alignment horizontal="center" vertical="center"/>
    </xf>
    <xf numFmtId="0" fontId="2" fillId="5" borderId="1" xfId="1" applyNumberFormat="1" applyFont="1" applyFill="1" applyBorder="1" applyAlignment="1">
      <alignment horizontal="center" vertical="center" wrapText="1"/>
    </xf>
    <xf numFmtId="0" fontId="2" fillId="5" borderId="1" xfId="1" applyNumberFormat="1" applyFont="1" applyFill="1" applyBorder="1" applyAlignment="1">
      <alignment horizontal="center" vertical="center"/>
    </xf>
    <xf numFmtId="0" fontId="2" fillId="5" borderId="26" xfId="1" applyNumberFormat="1" applyFont="1" applyFill="1" applyBorder="1" applyAlignment="1">
      <alignment horizontal="center" vertical="center"/>
    </xf>
    <xf numFmtId="0" fontId="2" fillId="6" borderId="33" xfId="0" applyFont="1" applyFill="1" applyBorder="1" applyAlignment="1">
      <alignment horizontal="center" vertical="top"/>
    </xf>
    <xf numFmtId="0" fontId="2" fillId="6" borderId="28" xfId="0" applyFont="1" applyFill="1" applyBorder="1" applyAlignment="1">
      <alignment horizontal="center" vertical="top"/>
    </xf>
    <xf numFmtId="0" fontId="2" fillId="6" borderId="8" xfId="0" applyFont="1" applyFill="1" applyBorder="1" applyAlignment="1">
      <alignment horizontal="center" vertical="top"/>
    </xf>
    <xf numFmtId="0" fontId="2" fillId="6" borderId="30" xfId="0" applyFont="1" applyFill="1" applyBorder="1" applyAlignment="1">
      <alignment horizontal="center" vertical="top"/>
    </xf>
    <xf numFmtId="0" fontId="2" fillId="6" borderId="10" xfId="0" applyFont="1" applyFill="1" applyBorder="1" applyAlignment="1">
      <alignment horizontal="center" vertical="top"/>
    </xf>
    <xf numFmtId="0" fontId="2" fillId="6" borderId="35" xfId="0" applyFont="1" applyFill="1" applyBorder="1" applyAlignment="1">
      <alignment horizontal="center" vertical="top"/>
    </xf>
    <xf numFmtId="0" fontId="2" fillId="6" borderId="21" xfId="1" applyNumberFormat="1" applyFont="1" applyFill="1" applyBorder="1" applyAlignment="1">
      <alignment horizontal="center" vertical="top"/>
    </xf>
    <xf numFmtId="0" fontId="2" fillId="6" borderId="27" xfId="1" applyNumberFormat="1" applyFont="1" applyFill="1" applyBorder="1" applyAlignment="1">
      <alignment horizontal="center" vertical="top"/>
    </xf>
    <xf numFmtId="0" fontId="2" fillId="6" borderId="22" xfId="1" applyNumberFormat="1" applyFont="1" applyFill="1" applyBorder="1" applyAlignment="1">
      <alignment horizontal="center" vertical="top"/>
    </xf>
    <xf numFmtId="0" fontId="2" fillId="6" borderId="29" xfId="1" applyNumberFormat="1" applyFont="1" applyFill="1" applyBorder="1" applyAlignment="1">
      <alignment horizontal="center" vertical="top"/>
    </xf>
    <xf numFmtId="0" fontId="2" fillId="6" borderId="0" xfId="1" applyNumberFormat="1" applyFont="1" applyFill="1" applyBorder="1" applyAlignment="1">
      <alignment horizontal="center" vertical="top"/>
    </xf>
    <xf numFmtId="0" fontId="2" fillId="6" borderId="9" xfId="1" applyNumberFormat="1" applyFont="1" applyFill="1" applyBorder="1" applyAlignment="1">
      <alignment horizontal="center" vertical="top"/>
    </xf>
    <xf numFmtId="0" fontId="2" fillId="6" borderId="34" xfId="1" applyNumberFormat="1" applyFont="1" applyFill="1" applyBorder="1" applyAlignment="1">
      <alignment horizontal="center" vertical="top"/>
    </xf>
    <xf numFmtId="0" fontId="2" fillId="6" borderId="6" xfId="1" applyNumberFormat="1" applyFont="1" applyFill="1" applyBorder="1" applyAlignment="1">
      <alignment horizontal="center" vertical="top"/>
    </xf>
    <xf numFmtId="0" fontId="2" fillId="6" borderId="11" xfId="1"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11" fillId="4" borderId="1" xfId="1" applyNumberFormat="1" applyFont="1" applyFill="1" applyBorder="1" applyAlignment="1">
      <alignment horizontal="center" vertical="top" wrapText="1"/>
    </xf>
    <xf numFmtId="0" fontId="2" fillId="0" borderId="21" xfId="1" applyNumberFormat="1" applyFont="1" applyFill="1" applyBorder="1" applyAlignment="1">
      <alignment horizontal="left" vertical="center" wrapText="1"/>
    </xf>
    <xf numFmtId="0" fontId="2" fillId="0" borderId="27" xfId="1" applyNumberFormat="1" applyFont="1" applyFill="1" applyBorder="1" applyAlignment="1">
      <alignment horizontal="left" vertical="center" wrapText="1"/>
    </xf>
    <xf numFmtId="0" fontId="2" fillId="0" borderId="28" xfId="1" applyNumberFormat="1" applyFont="1" applyFill="1" applyBorder="1" applyAlignment="1">
      <alignment horizontal="left" vertical="center" wrapText="1"/>
    </xf>
    <xf numFmtId="0" fontId="2" fillId="0" borderId="29" xfId="1" applyNumberFormat="1" applyFont="1" applyFill="1" applyBorder="1" applyAlignment="1">
      <alignment horizontal="left" vertical="center" wrapText="1"/>
    </xf>
    <xf numFmtId="0" fontId="2" fillId="0" borderId="0" xfId="1" applyNumberFormat="1" applyFont="1" applyFill="1" applyBorder="1" applyAlignment="1">
      <alignment horizontal="left" vertical="center" wrapText="1"/>
    </xf>
    <xf numFmtId="0" fontId="2" fillId="0" borderId="30" xfId="1" applyNumberFormat="1" applyFont="1" applyFill="1" applyBorder="1" applyAlignment="1">
      <alignment horizontal="left" vertical="center" wrapText="1"/>
    </xf>
    <xf numFmtId="0" fontId="2" fillId="0" borderId="23" xfId="1" applyNumberFormat="1" applyFont="1" applyFill="1" applyBorder="1" applyAlignment="1">
      <alignment horizontal="left" vertical="center" wrapText="1"/>
    </xf>
    <xf numFmtId="0" fontId="2" fillId="0" borderId="31" xfId="1" applyNumberFormat="1" applyFont="1" applyFill="1" applyBorder="1" applyAlignment="1">
      <alignment horizontal="left" vertical="center" wrapText="1"/>
    </xf>
    <xf numFmtId="0" fontId="2" fillId="0" borderId="32" xfId="1" applyNumberFormat="1" applyFont="1" applyFill="1" applyBorder="1" applyAlignment="1">
      <alignment horizontal="left" vertical="center" wrapText="1"/>
    </xf>
    <xf numFmtId="0" fontId="16" fillId="3" borderId="36" xfId="1" applyNumberFormat="1" applyFont="1" applyFill="1" applyBorder="1" applyAlignment="1">
      <alignment horizontal="center" vertical="center"/>
    </xf>
    <xf numFmtId="0" fontId="16" fillId="3" borderId="3" xfId="1"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4" borderId="1" xfId="0" applyFont="1" applyFill="1" applyBorder="1" applyAlignment="1">
      <alignment horizontal="center" vertical="top"/>
    </xf>
    <xf numFmtId="0" fontId="8" fillId="0" borderId="1" xfId="0" applyFont="1" applyFill="1" applyBorder="1" applyAlignment="1">
      <alignment horizontal="center" vertical="center" wrapText="1"/>
    </xf>
    <xf numFmtId="164" fontId="4" fillId="4" borderId="1" xfId="1" applyNumberFormat="1" applyFont="1" applyFill="1" applyBorder="1" applyAlignment="1">
      <alignment horizontal="center" vertical="center" wrapText="1"/>
    </xf>
    <xf numFmtId="0" fontId="0" fillId="5" borderId="3" xfId="0" applyFill="1" applyBorder="1" applyAlignment="1">
      <alignment horizontal="center"/>
    </xf>
    <xf numFmtId="0" fontId="0" fillId="5" borderId="4" xfId="0" applyFill="1" applyBorder="1" applyAlignment="1">
      <alignment horizont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164" fontId="4" fillId="5" borderId="1" xfId="1" applyNumberFormat="1" applyFont="1" applyFill="1" applyBorder="1" applyAlignment="1">
      <alignment horizontal="center" vertical="center" wrapText="1"/>
    </xf>
    <xf numFmtId="0" fontId="18" fillId="3" borderId="2" xfId="0" applyFont="1" applyFill="1" applyBorder="1" applyAlignment="1">
      <alignment horizontal="center" vertical="top"/>
    </xf>
    <xf numFmtId="0" fontId="18" fillId="3" borderId="3" xfId="0" applyFont="1" applyFill="1" applyBorder="1" applyAlignment="1">
      <alignment horizontal="center" vertical="top"/>
    </xf>
    <xf numFmtId="0" fontId="18" fillId="3" borderId="4" xfId="0" applyFont="1" applyFill="1" applyBorder="1" applyAlignment="1">
      <alignment horizontal="center" vertical="top"/>
    </xf>
    <xf numFmtId="0" fontId="2" fillId="6" borderId="2" xfId="1" applyNumberFormat="1" applyFont="1" applyFill="1" applyBorder="1" applyAlignment="1">
      <alignment horizontal="center" vertical="center" wrapText="1"/>
    </xf>
    <xf numFmtId="0" fontId="2" fillId="6" borderId="3" xfId="1"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1" fillId="4" borderId="40" xfId="1" applyNumberFormat="1" applyFont="1" applyFill="1" applyBorder="1" applyAlignment="1">
      <alignment horizontal="center" vertical="top" wrapText="1"/>
    </xf>
    <xf numFmtId="0" fontId="11" fillId="4" borderId="41" xfId="1" applyNumberFormat="1" applyFont="1" applyFill="1" applyBorder="1" applyAlignment="1">
      <alignment horizontal="center" vertical="top" wrapText="1"/>
    </xf>
    <xf numFmtId="0" fontId="11" fillId="4" borderId="7" xfId="1" applyNumberFormat="1" applyFont="1" applyFill="1" applyBorder="1" applyAlignment="1">
      <alignment horizontal="center" vertical="top" wrapText="1"/>
    </xf>
    <xf numFmtId="0" fontId="11" fillId="4" borderId="8" xfId="1" applyNumberFormat="1" applyFont="1" applyFill="1" applyBorder="1" applyAlignment="1">
      <alignment horizontal="center" vertical="top" wrapText="1"/>
    </xf>
    <xf numFmtId="0" fontId="11" fillId="4" borderId="0" xfId="1" applyNumberFormat="1" applyFont="1" applyFill="1" applyBorder="1" applyAlignment="1">
      <alignment horizontal="center" vertical="top" wrapText="1"/>
    </xf>
    <xf numFmtId="0" fontId="11" fillId="4" borderId="9" xfId="1" applyNumberFormat="1" applyFont="1" applyFill="1" applyBorder="1" applyAlignment="1">
      <alignment horizontal="center" vertical="top" wrapText="1"/>
    </xf>
    <xf numFmtId="0" fontId="11" fillId="4" borderId="10" xfId="1" applyNumberFormat="1" applyFont="1" applyFill="1" applyBorder="1" applyAlignment="1">
      <alignment horizontal="center" vertical="top" wrapText="1"/>
    </xf>
    <xf numFmtId="0" fontId="11" fillId="4" borderId="6" xfId="1" applyNumberFormat="1" applyFont="1" applyFill="1" applyBorder="1" applyAlignment="1">
      <alignment horizontal="center" vertical="top" wrapText="1"/>
    </xf>
    <xf numFmtId="0" fontId="11" fillId="4" borderId="11" xfId="1" applyNumberFormat="1" applyFont="1" applyFill="1" applyBorder="1" applyAlignment="1">
      <alignment horizontal="center" vertical="top" wrapText="1"/>
    </xf>
    <xf numFmtId="164" fontId="3" fillId="5" borderId="46" xfId="1" applyNumberFormat="1" applyFont="1" applyFill="1" applyBorder="1" applyAlignment="1">
      <alignment horizontal="center" wrapText="1"/>
    </xf>
    <xf numFmtId="164" fontId="3" fillId="5" borderId="43" xfId="1" applyNumberFormat="1" applyFont="1" applyFill="1" applyBorder="1" applyAlignment="1">
      <alignment horizontal="center" wrapText="1"/>
    </xf>
    <xf numFmtId="164" fontId="3" fillId="5" borderId="44" xfId="1" applyNumberFormat="1" applyFont="1" applyFill="1" applyBorder="1" applyAlignment="1">
      <alignment horizontal="center" wrapText="1"/>
    </xf>
    <xf numFmtId="0" fontId="3" fillId="6" borderId="42" xfId="0" applyFont="1" applyFill="1" applyBorder="1" applyAlignment="1">
      <alignment horizontal="center" wrapText="1"/>
    </xf>
    <xf numFmtId="0" fontId="3" fillId="6" borderId="43" xfId="0" applyFont="1" applyFill="1" applyBorder="1" applyAlignment="1">
      <alignment horizontal="center" wrapText="1"/>
    </xf>
    <xf numFmtId="0" fontId="3" fillId="6" borderId="44" xfId="0" applyFont="1" applyFill="1" applyBorder="1" applyAlignment="1">
      <alignment horizontal="center" wrapText="1"/>
    </xf>
    <xf numFmtId="0" fontId="6" fillId="4" borderId="42" xfId="0" applyFont="1" applyFill="1" applyBorder="1" applyAlignment="1">
      <alignment horizontal="left" vertical="center"/>
    </xf>
    <xf numFmtId="0" fontId="6" fillId="4" borderId="43" xfId="0" applyFont="1" applyFill="1" applyBorder="1" applyAlignment="1">
      <alignment horizontal="left" vertical="center"/>
    </xf>
    <xf numFmtId="0" fontId="6" fillId="4" borderId="44" xfId="0" applyFont="1" applyFill="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colors>
    <mruColors>
      <color rgb="FF66FF99"/>
      <color rgb="FFCCFFCC"/>
      <color rgb="FF99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H60"/>
  <sheetViews>
    <sheetView showGridLines="0" tabSelected="1" view="pageBreakPreview" topLeftCell="A6" zoomScaleNormal="70" zoomScaleSheetLayoutView="100" workbookViewId="0">
      <selection activeCell="D17" sqref="D17"/>
    </sheetView>
  </sheetViews>
  <sheetFormatPr defaultRowHeight="14.4" x14ac:dyDescent="0.3"/>
  <cols>
    <col min="1" max="1" width="7.88671875" customWidth="1"/>
    <col min="2" max="2" width="71.6640625" customWidth="1"/>
    <col min="3" max="3" width="14.6640625" customWidth="1"/>
    <col min="4" max="4" width="25" customWidth="1"/>
    <col min="5" max="5" width="20" bestFit="1" customWidth="1"/>
    <col min="6" max="6" width="22.6640625" bestFit="1" customWidth="1"/>
    <col min="7" max="7" width="8.88671875" customWidth="1"/>
  </cols>
  <sheetData>
    <row r="1" spans="1:8" ht="26.4" thickBot="1" x14ac:dyDescent="0.55000000000000004">
      <c r="A1" s="158" t="s">
        <v>380</v>
      </c>
      <c r="B1" s="158"/>
      <c r="C1" s="158"/>
      <c r="D1" s="158"/>
      <c r="E1" s="158"/>
      <c r="F1" s="158"/>
    </row>
    <row r="2" spans="1:8" s="1" customFormat="1" ht="24" thickBot="1" x14ac:dyDescent="0.35">
      <c r="A2" s="136" t="s">
        <v>376</v>
      </c>
      <c r="B2" s="137"/>
      <c r="C2" s="137"/>
      <c r="D2" s="137"/>
      <c r="E2" s="137"/>
      <c r="F2" s="138"/>
    </row>
    <row r="3" spans="1:8" ht="18" customHeight="1" x14ac:dyDescent="0.3">
      <c r="A3" s="171" t="s">
        <v>175</v>
      </c>
      <c r="B3" s="172"/>
      <c r="C3" s="172"/>
      <c r="D3" s="173"/>
      <c r="E3" s="165" t="s">
        <v>174</v>
      </c>
      <c r="F3" s="166"/>
    </row>
    <row r="4" spans="1:8" ht="18" customHeight="1" x14ac:dyDescent="0.3">
      <c r="A4" s="174"/>
      <c r="B4" s="175"/>
      <c r="C4" s="175"/>
      <c r="D4" s="176"/>
      <c r="E4" s="167"/>
      <c r="F4" s="168"/>
    </row>
    <row r="5" spans="1:8" ht="18" customHeight="1" x14ac:dyDescent="0.3">
      <c r="A5" s="177"/>
      <c r="B5" s="178"/>
      <c r="C5" s="178"/>
      <c r="D5" s="179"/>
      <c r="E5" s="169"/>
      <c r="F5" s="170"/>
    </row>
    <row r="6" spans="1:8" s="1" customFormat="1" ht="23.4" x14ac:dyDescent="0.3">
      <c r="A6" s="131" t="s">
        <v>411</v>
      </c>
      <c r="B6" s="132"/>
      <c r="C6" s="132"/>
      <c r="D6" s="132"/>
      <c r="E6" s="132"/>
      <c r="F6" s="133"/>
    </row>
    <row r="7" spans="1:8" ht="59.4" customHeight="1" x14ac:dyDescent="0.3">
      <c r="A7" s="86" t="s">
        <v>0</v>
      </c>
      <c r="B7" s="77" t="s">
        <v>351</v>
      </c>
      <c r="C7" s="162" t="s">
        <v>31</v>
      </c>
      <c r="D7" s="162"/>
      <c r="E7" s="163" t="s">
        <v>39</v>
      </c>
      <c r="F7" s="164"/>
    </row>
    <row r="8" spans="1:8" ht="18" x14ac:dyDescent="0.3">
      <c r="A8" s="159" t="s">
        <v>74</v>
      </c>
      <c r="B8" s="160"/>
      <c r="C8" s="160"/>
      <c r="D8" s="160"/>
      <c r="E8" s="160"/>
      <c r="F8" s="161"/>
    </row>
    <row r="9" spans="1:8" ht="18" x14ac:dyDescent="0.35">
      <c r="A9" s="87" t="s">
        <v>30</v>
      </c>
      <c r="B9" s="19" t="s">
        <v>52</v>
      </c>
      <c r="C9" s="75" t="s">
        <v>38</v>
      </c>
      <c r="D9" s="75" t="s">
        <v>40</v>
      </c>
      <c r="E9" s="75" t="s">
        <v>170</v>
      </c>
      <c r="F9" s="88" t="s">
        <v>328</v>
      </c>
    </row>
    <row r="10" spans="1:8" ht="18" x14ac:dyDescent="0.35">
      <c r="A10" s="87" t="s">
        <v>33</v>
      </c>
      <c r="B10" s="20" t="s">
        <v>401</v>
      </c>
      <c r="C10" s="83"/>
      <c r="D10" s="83"/>
      <c r="E10" s="74" t="str">
        <f>IF(OR(C10="",D10=""),"",ROUND(C10/D10,0)&amp;" : "&amp;1)</f>
        <v/>
      </c>
      <c r="F10" s="89" t="str">
        <f>IF(OR(C10="",D10=""),"",(IF(AND((ROUND(C10/D10,0))&gt;=1,(ROUND(C10/D10,0))&lt;=15),"Satisfactory","Unsatisfactory")))</f>
        <v/>
      </c>
    </row>
    <row r="11" spans="1:8" ht="18" x14ac:dyDescent="0.35">
      <c r="A11" s="87" t="s">
        <v>34</v>
      </c>
      <c r="B11" s="20" t="s">
        <v>402</v>
      </c>
      <c r="C11" s="83"/>
      <c r="D11" s="83"/>
      <c r="E11" s="74" t="str">
        <f t="shared" ref="E11:E13" si="0">IF(OR(C11="",D11=""),"",ROUND(C11/D11,0)&amp;" : "&amp;1)</f>
        <v/>
      </c>
      <c r="F11" s="89" t="str">
        <f t="shared" ref="F11:F13" si="1">IF(OR(C11="",D11=""),"",(IF(AND((ROUND(C11/D11,0))&gt;=1,(ROUND(C11/D11,0))&lt;=15),"Satisfactory","Unsatisfactory")))</f>
        <v/>
      </c>
    </row>
    <row r="12" spans="1:8" ht="18" x14ac:dyDescent="0.35">
      <c r="A12" s="87" t="s">
        <v>35</v>
      </c>
      <c r="B12" s="20" t="s">
        <v>403</v>
      </c>
      <c r="C12" s="83"/>
      <c r="D12" s="83"/>
      <c r="E12" s="74" t="str">
        <f t="shared" si="0"/>
        <v/>
      </c>
      <c r="F12" s="89" t="str">
        <f t="shared" si="1"/>
        <v/>
      </c>
    </row>
    <row r="13" spans="1:8" ht="18" x14ac:dyDescent="0.35">
      <c r="A13" s="87" t="s">
        <v>36</v>
      </c>
      <c r="B13" s="20" t="s">
        <v>404</v>
      </c>
      <c r="C13" s="83"/>
      <c r="D13" s="83"/>
      <c r="E13" s="74" t="str">
        <f t="shared" si="0"/>
        <v/>
      </c>
      <c r="F13" s="89" t="str">
        <f t="shared" si="1"/>
        <v/>
      </c>
    </row>
    <row r="14" spans="1:8" ht="18" x14ac:dyDescent="0.35">
      <c r="A14" s="87" t="s">
        <v>37</v>
      </c>
      <c r="B14" s="20" t="s">
        <v>405</v>
      </c>
      <c r="C14" s="83"/>
      <c r="D14" s="83"/>
      <c r="E14" s="74" t="str">
        <f t="shared" ref="E14" si="2">IF(OR(C14="",D14=""),"",ROUND(C14/D14,0)&amp;" : "&amp;1)</f>
        <v/>
      </c>
      <c r="F14" s="89" t="str">
        <f t="shared" ref="F14" si="3">IF(OR(C14="",D14=""),"",(IF(AND((ROUND(C14/D14,0))&gt;=1,(ROUND(C14/D14,0))&lt;=15),"Satisfactory","Unsatisfactory")))</f>
        <v/>
      </c>
    </row>
    <row r="15" spans="1:8" ht="18" x14ac:dyDescent="0.35">
      <c r="A15" s="87" t="s">
        <v>41</v>
      </c>
      <c r="B15" s="19" t="s">
        <v>53</v>
      </c>
      <c r="C15" s="75" t="s">
        <v>32</v>
      </c>
      <c r="D15" s="75" t="s">
        <v>38</v>
      </c>
      <c r="E15" s="75"/>
      <c r="F15" s="88"/>
    </row>
    <row r="16" spans="1:8" ht="18" x14ac:dyDescent="0.35">
      <c r="A16" s="87" t="s">
        <v>42</v>
      </c>
      <c r="B16" s="20" t="s">
        <v>172</v>
      </c>
      <c r="C16" s="83"/>
      <c r="D16" s="21"/>
      <c r="E16" s="74" t="str">
        <f>IF(OR(C16="",D16=""),"",ROUND(D16/C16,0)&amp;" : "&amp;1)</f>
        <v/>
      </c>
      <c r="F16" s="89" t="str">
        <f>IF(OR(C16="",D16=""),"",(IF(AND((ROUND(D16/C16,0))&gt;=1,(ROUND(D16/C16,0))&lt;=30,C16&gt;=5),"Satisfactory","Unsatisfactory")))</f>
        <v/>
      </c>
      <c r="H16" s="49"/>
    </row>
    <row r="17" spans="1:8" ht="18" x14ac:dyDescent="0.35">
      <c r="A17" s="87" t="s">
        <v>43</v>
      </c>
      <c r="B17" s="20" t="s">
        <v>331</v>
      </c>
      <c r="C17" s="83"/>
      <c r="D17" s="21"/>
      <c r="E17" s="74"/>
      <c r="F17" s="89" t="str">
        <f>IF(OR(C17="",D17=""),"",(IF(C17/D17&gt;=40,"Satisfactory","Unsatisfactory")))</f>
        <v/>
      </c>
      <c r="H17" s="49"/>
    </row>
    <row r="18" spans="1:8" ht="18" x14ac:dyDescent="0.35">
      <c r="A18" s="87" t="s">
        <v>44</v>
      </c>
      <c r="B18" s="20" t="s">
        <v>332</v>
      </c>
      <c r="C18" s="83"/>
      <c r="D18" s="21"/>
      <c r="E18" s="74"/>
      <c r="F18" s="89" t="str">
        <f t="shared" ref="F18:F21" si="4">IF(OR(C18="",D18=""),"",(IF(C18/D18&gt;=40,"Satisfactory","Unsatisfactory")))</f>
        <v/>
      </c>
    </row>
    <row r="19" spans="1:8" ht="18" x14ac:dyDescent="0.35">
      <c r="A19" s="87" t="s">
        <v>45</v>
      </c>
      <c r="B19" s="20" t="s">
        <v>333</v>
      </c>
      <c r="C19" s="83"/>
      <c r="D19" s="21"/>
      <c r="E19" s="74"/>
      <c r="F19" s="89" t="str">
        <f t="shared" si="4"/>
        <v/>
      </c>
    </row>
    <row r="20" spans="1:8" ht="18" x14ac:dyDescent="0.35">
      <c r="A20" s="87" t="s">
        <v>46</v>
      </c>
      <c r="B20" s="20" t="s">
        <v>334</v>
      </c>
      <c r="C20" s="83"/>
      <c r="D20" s="21"/>
      <c r="E20" s="74"/>
      <c r="F20" s="89" t="str">
        <f t="shared" si="4"/>
        <v/>
      </c>
    </row>
    <row r="21" spans="1:8" ht="18" x14ac:dyDescent="0.35">
      <c r="A21" s="87" t="s">
        <v>47</v>
      </c>
      <c r="B21" s="20" t="s">
        <v>335</v>
      </c>
      <c r="C21" s="83"/>
      <c r="D21" s="21"/>
      <c r="E21" s="74"/>
      <c r="F21" s="89" t="str">
        <f t="shared" si="4"/>
        <v/>
      </c>
    </row>
    <row r="22" spans="1:8" ht="18" x14ac:dyDescent="0.35">
      <c r="A22" s="87" t="s">
        <v>48</v>
      </c>
      <c r="B22" s="19" t="s">
        <v>54</v>
      </c>
      <c r="C22" s="130" t="s">
        <v>56</v>
      </c>
      <c r="D22" s="130"/>
      <c r="E22" s="12"/>
      <c r="F22" s="88"/>
    </row>
    <row r="23" spans="1:8" ht="18" x14ac:dyDescent="0.35">
      <c r="A23" s="87" t="s">
        <v>49</v>
      </c>
      <c r="B23" s="20" t="s">
        <v>338</v>
      </c>
      <c r="C23" s="129"/>
      <c r="D23" s="129"/>
      <c r="E23" s="74"/>
      <c r="F23" s="89" t="str">
        <f>IF(C23="","",IF(C23="Yes","Satisfactory","Unsatisfactory"))</f>
        <v/>
      </c>
    </row>
    <row r="24" spans="1:8" ht="18" x14ac:dyDescent="0.35">
      <c r="A24" s="87" t="s">
        <v>50</v>
      </c>
      <c r="B24" s="20" t="s">
        <v>55</v>
      </c>
      <c r="C24" s="129"/>
      <c r="D24" s="129"/>
      <c r="E24" s="12"/>
      <c r="F24" s="89" t="str">
        <f>IF(C24="","",IF(C24&lt;30,"Unsatisfactory","Satisfactory"))</f>
        <v/>
      </c>
    </row>
    <row r="25" spans="1:8" ht="18" x14ac:dyDescent="0.35">
      <c r="A25" s="87" t="s">
        <v>51</v>
      </c>
      <c r="B25" s="20" t="s">
        <v>384</v>
      </c>
      <c r="C25" s="129"/>
      <c r="D25" s="129"/>
      <c r="E25" s="12"/>
      <c r="F25" s="89" t="str">
        <f>IF(C25="","",IF(C25="Yes","Satisfactory","Unsatisfactory"))</f>
        <v/>
      </c>
    </row>
    <row r="26" spans="1:8" ht="18" x14ac:dyDescent="0.35">
      <c r="A26" s="87" t="s">
        <v>57</v>
      </c>
      <c r="B26" s="19" t="s">
        <v>58</v>
      </c>
      <c r="C26" s="130" t="s">
        <v>56</v>
      </c>
      <c r="D26" s="130"/>
      <c r="E26" s="12"/>
      <c r="F26" s="89"/>
    </row>
    <row r="27" spans="1:8" ht="18" x14ac:dyDescent="0.35">
      <c r="A27" s="87" t="s">
        <v>59</v>
      </c>
      <c r="B27" s="20" t="s">
        <v>61</v>
      </c>
      <c r="C27" s="129"/>
      <c r="D27" s="129"/>
      <c r="E27" s="12"/>
      <c r="F27" s="89" t="str">
        <f>IF(C27="","",IF(C27&lt;3000,"Unsatisfactory","Satisfactory"))</f>
        <v/>
      </c>
    </row>
    <row r="28" spans="1:8" ht="18" x14ac:dyDescent="0.35">
      <c r="A28" s="87" t="s">
        <v>60</v>
      </c>
      <c r="B28" s="20" t="s">
        <v>62</v>
      </c>
      <c r="C28" s="129"/>
      <c r="D28" s="129"/>
      <c r="E28" s="12"/>
      <c r="F28" s="89" t="str">
        <f>IF(C28="","",IF(C28&lt;300,"Unsatisfactory","Satisfactory"))</f>
        <v/>
      </c>
    </row>
    <row r="29" spans="1:8" ht="18" x14ac:dyDescent="0.3">
      <c r="A29" s="87" t="s">
        <v>63</v>
      </c>
      <c r="B29" s="22" t="s">
        <v>64</v>
      </c>
      <c r="C29" s="23" t="s">
        <v>68</v>
      </c>
      <c r="D29" s="24" t="s">
        <v>73</v>
      </c>
      <c r="E29" s="12"/>
      <c r="F29" s="89"/>
    </row>
    <row r="30" spans="1:8" ht="18" x14ac:dyDescent="0.3">
      <c r="A30" s="87" t="s">
        <v>65</v>
      </c>
      <c r="B30" s="128" t="s">
        <v>407</v>
      </c>
      <c r="C30" s="139"/>
      <c r="D30" s="140"/>
      <c r="E30" s="12"/>
      <c r="F30" s="89" t="str">
        <f>IF(C30="","",IF(C30="Yes","Unsatisfactory","satisfactory"))</f>
        <v/>
      </c>
    </row>
    <row r="31" spans="1:8" ht="18" x14ac:dyDescent="0.35">
      <c r="A31" s="87" t="s">
        <v>66</v>
      </c>
      <c r="B31" s="20" t="s">
        <v>339</v>
      </c>
      <c r="C31" s="134"/>
      <c r="D31" s="135"/>
      <c r="E31" s="74"/>
      <c r="F31" s="89" t="str">
        <f>IF(C31="","",IF(C31="Yes","Satisfactory","Unsatisfactory"))</f>
        <v/>
      </c>
    </row>
    <row r="32" spans="1:8" ht="18" x14ac:dyDescent="0.35">
      <c r="A32" s="87" t="s">
        <v>67</v>
      </c>
      <c r="B32" s="20" t="s">
        <v>336</v>
      </c>
      <c r="C32" s="84"/>
      <c r="D32" s="74" t="str">
        <f>IF(SUM(C10:C14)&lt;1,"",ROUND((AVERAGE(C10:C14)),0))</f>
        <v/>
      </c>
      <c r="E32" s="74"/>
      <c r="F32" s="89" t="str">
        <f>IF(OR(C32="",D32=""),"",(IF(C32/D32&gt;=20,"Satisfactory","Unsatisfactory")))</f>
        <v/>
      </c>
      <c r="H32" s="50"/>
    </row>
    <row r="33" spans="1:6" ht="18" x14ac:dyDescent="0.35">
      <c r="A33" s="87" t="s">
        <v>406</v>
      </c>
      <c r="B33" s="20" t="s">
        <v>337</v>
      </c>
      <c r="C33" s="84"/>
      <c r="D33" s="74" t="str">
        <f>IF(SUM(C10:C14)&lt;1,"",ROUND((AVERAGE(C10:C14)),0))</f>
        <v/>
      </c>
      <c r="E33" s="74"/>
      <c r="F33" s="89" t="str">
        <f>IF(OR(C33="",D33=""),"",(IF(C33/D33&gt;=20,"Satisfactory","Unsatisfactory")))</f>
        <v/>
      </c>
    </row>
    <row r="34" spans="1:6" ht="18" x14ac:dyDescent="0.35">
      <c r="A34" s="87" t="s">
        <v>69</v>
      </c>
      <c r="B34" s="22" t="s">
        <v>70</v>
      </c>
      <c r="C34" s="130" t="s">
        <v>56</v>
      </c>
      <c r="D34" s="130"/>
      <c r="E34" s="74"/>
      <c r="F34" s="89"/>
    </row>
    <row r="35" spans="1:6" ht="18" x14ac:dyDescent="0.35">
      <c r="A35" s="87" t="s">
        <v>71</v>
      </c>
      <c r="B35" s="20" t="s">
        <v>321</v>
      </c>
      <c r="C35" s="129"/>
      <c r="D35" s="129"/>
      <c r="E35" s="74"/>
      <c r="F35" s="89" t="str">
        <f>IF(C35="","",(IF(C35&gt;=1,"Satisfactory","Unsatisfactory")))</f>
        <v/>
      </c>
    </row>
    <row r="36" spans="1:6" ht="18" x14ac:dyDescent="0.35">
      <c r="A36" s="87" t="s">
        <v>72</v>
      </c>
      <c r="B36" s="20" t="s">
        <v>55</v>
      </c>
      <c r="C36" s="129"/>
      <c r="D36" s="129"/>
      <c r="E36" s="74"/>
      <c r="F36" s="89" t="str">
        <f>IF(C35="","",(IF(C36&gt;=30,"Satisfactory","Unsatisfactory")))</f>
        <v/>
      </c>
    </row>
    <row r="37" spans="1:6" ht="18" x14ac:dyDescent="0.3">
      <c r="A37" s="159" t="s">
        <v>75</v>
      </c>
      <c r="B37" s="160"/>
      <c r="C37" s="160"/>
      <c r="D37" s="160"/>
      <c r="E37" s="160"/>
      <c r="F37" s="161"/>
    </row>
    <row r="38" spans="1:6" ht="18" x14ac:dyDescent="0.3">
      <c r="A38" s="87" t="s">
        <v>76</v>
      </c>
      <c r="B38" s="22" t="s">
        <v>77</v>
      </c>
      <c r="C38" s="150" t="s">
        <v>56</v>
      </c>
      <c r="D38" s="151"/>
      <c r="E38" s="23" t="s">
        <v>368</v>
      </c>
      <c r="F38" s="89"/>
    </row>
    <row r="39" spans="1:6" ht="18" x14ac:dyDescent="0.35">
      <c r="A39" s="87" t="s">
        <v>78</v>
      </c>
      <c r="B39" s="25" t="s">
        <v>81</v>
      </c>
      <c r="C39" s="129"/>
      <c r="D39" s="129"/>
      <c r="E39" s="152"/>
      <c r="F39" s="89" t="str">
        <f>IF(C39="","",(IF(AND(E39="TP",C39&gt;=6),"Satisfactory",(IF(AND(E39="AR",C39&gt;=7),"Satisfactory","Unsatisfactory")))))</f>
        <v/>
      </c>
    </row>
    <row r="40" spans="1:6" ht="18" x14ac:dyDescent="0.35">
      <c r="A40" s="87" t="s">
        <v>79</v>
      </c>
      <c r="B40" s="25" t="s">
        <v>85</v>
      </c>
      <c r="C40" s="129"/>
      <c r="D40" s="129"/>
      <c r="E40" s="153"/>
      <c r="F40" s="89" t="str">
        <f>IF(C39="","",IF(C40&lt;3,"Unsatisfactory","Satisfactory"))</f>
        <v/>
      </c>
    </row>
    <row r="41" spans="1:6" ht="54" x14ac:dyDescent="0.3">
      <c r="A41" s="87" t="s">
        <v>80</v>
      </c>
      <c r="B41" s="51" t="s">
        <v>323</v>
      </c>
      <c r="C41" s="76" t="s">
        <v>56</v>
      </c>
      <c r="D41" s="52" t="s">
        <v>322</v>
      </c>
      <c r="E41" s="52" t="s">
        <v>329</v>
      </c>
      <c r="F41" s="90" t="s">
        <v>330</v>
      </c>
    </row>
    <row r="42" spans="1:6" ht="18" x14ac:dyDescent="0.35">
      <c r="A42" s="87" t="s">
        <v>324</v>
      </c>
      <c r="B42" s="25" t="s">
        <v>86</v>
      </c>
      <c r="C42" s="84"/>
      <c r="D42" s="84"/>
      <c r="E42" s="74" t="str">
        <f>IF(E39="","",IF(E39="AR",(IF(C42="","",(IF(OR(C42-D42&lt;0,D42="",D42&lt;1),"Not Eligible","Eligible")))),(IF(C42="","",(IF(OR(C42-D42&lt;0,D42="",D42=0),"Not Eligible","Eligible"))))))</f>
        <v/>
      </c>
      <c r="F42" s="89" t="str">
        <f>IF(E39="AR",(IF(C39="","",(IF(C42&gt;=1,"Satisfactory","Unsatisfactory")))),(IF(C39="","",(IF(C42&gt;=1,"Satisfactory","Unsatisfactory")))))</f>
        <v/>
      </c>
    </row>
    <row r="43" spans="1:6" ht="18" x14ac:dyDescent="0.35">
      <c r="A43" s="87" t="s">
        <v>325</v>
      </c>
      <c r="B43" s="25" t="s">
        <v>82</v>
      </c>
      <c r="C43" s="84"/>
      <c r="D43" s="84"/>
      <c r="E43" s="74" t="str">
        <f>IF(E39="","",IF(E39="AR",(IF(C43="","",(IF(OR(C43-D43&lt;0,D43="",D43&lt;2),"Not Eligible","Eligible")))),(IF(C43="","",(IF(OR(C43-D43&lt;0,D43="",D43&lt;1),"Not Eligible","Eligible"))))))</f>
        <v/>
      </c>
      <c r="F43" s="89" t="str">
        <f>IF(E39="AR",(IF(C39="","",(IF(C43&gt;=2,"Satisfactory","Unsatisfactory")))),(IF(C39="","",(IF(C43&gt;=1,"Satisfactory","Unsatisfactory")))))</f>
        <v/>
      </c>
    </row>
    <row r="44" spans="1:6" ht="18" x14ac:dyDescent="0.35">
      <c r="A44" s="87" t="s">
        <v>326</v>
      </c>
      <c r="B44" s="25" t="s">
        <v>83</v>
      </c>
      <c r="C44" s="84"/>
      <c r="D44" s="84"/>
      <c r="E44" s="74" t="str">
        <f>IF(E39="","",IF(E39="AR",(IF(C44="","",(IF(OR(C44-D44&lt;0,D44="",D44&lt;3),"Not Eligible","Eligible")))),(IF(C44="","",(IF(OR(C44-D44&lt;0,D44="",D44&lt;2),"Not Eligible","Eligible"))))))</f>
        <v/>
      </c>
      <c r="F44" s="89" t="str">
        <f>IF(E39="AR",(IF(C39="","",(IF(C44&gt;=3,"Satisfactory","Unsatisfactory")))),(IF(C39="","",(IF(C44&gt;=2,"Satisfactory","Unsatisfactory")))))</f>
        <v/>
      </c>
    </row>
    <row r="45" spans="1:6" ht="18.600000000000001" thickBot="1" x14ac:dyDescent="0.4">
      <c r="A45" s="91" t="s">
        <v>327</v>
      </c>
      <c r="B45" s="56" t="s">
        <v>84</v>
      </c>
      <c r="C45" s="85"/>
      <c r="D45" s="85"/>
      <c r="E45" s="57" t="str">
        <f>IF(E39="","",IF(E39="AR",(IF(C45="","",(IF(OR(C45-D45&lt;0,D45="",D45&lt;1),"Not Eligible","Eligible")))),(IF(C45="","",(IF(OR(C45-D45&lt;0,D45="",D45&lt;2),"Not Eligible","Eligible"))))))</f>
        <v/>
      </c>
      <c r="F45" s="92" t="str">
        <f>IF(E39="AR",(IF(C39="","",(IF(C45&gt;=1,"Satisfactory","Unsatisfactory")))),(IF(C39="","",(IF(C45&gt;=2,"Satisfactory","Unsatisfactory")))))</f>
        <v/>
      </c>
    </row>
    <row r="46" spans="1:6" ht="18" x14ac:dyDescent="0.35">
      <c r="A46" s="154" t="s">
        <v>354</v>
      </c>
      <c r="B46" s="155"/>
      <c r="C46" s="78" t="s">
        <v>314</v>
      </c>
      <c r="D46" s="78" t="s">
        <v>352</v>
      </c>
      <c r="E46" s="78" t="s">
        <v>312</v>
      </c>
      <c r="F46" s="79" t="s">
        <v>353</v>
      </c>
    </row>
    <row r="47" spans="1:6" ht="18.600000000000001" thickBot="1" x14ac:dyDescent="0.4">
      <c r="A47" s="156"/>
      <c r="B47" s="157"/>
      <c r="C47" s="80" t="str">
        <f>IF((((COUNTIF(F10:F45,"Unsatisfactory"))+(COUNTIF(F10:F45,"Satisfactory")))*100)=0,"",(((COUNTIF(F10:F45,"Unsatisfactory"))+(COUNTIF(F10:F45,"Satisfactory")))*100))</f>
        <v/>
      </c>
      <c r="D47" s="80" t="str">
        <f>IF(C47="","",(COUNTIF(F10:F45,"Satisfactory")*100))</f>
        <v/>
      </c>
      <c r="E47" s="81" t="str">
        <f>IF(C47="","",D47/C47)</f>
        <v/>
      </c>
      <c r="F47" s="82" t="str">
        <f>IF(C47="","",(IF(E47&gt;=80%,"Qualified","Unqualified")))</f>
        <v/>
      </c>
    </row>
    <row r="48" spans="1:6" ht="14.4" customHeight="1" x14ac:dyDescent="0.3">
      <c r="A48" s="141" t="s">
        <v>398</v>
      </c>
      <c r="B48" s="142"/>
      <c r="C48" s="142"/>
      <c r="D48" s="142"/>
      <c r="E48" s="142"/>
      <c r="F48" s="143"/>
    </row>
    <row r="49" spans="1:6" x14ac:dyDescent="0.3">
      <c r="A49" s="144"/>
      <c r="B49" s="145"/>
      <c r="C49" s="145"/>
      <c r="D49" s="145"/>
      <c r="E49" s="145"/>
      <c r="F49" s="146"/>
    </row>
    <row r="50" spans="1:6" x14ac:dyDescent="0.3">
      <c r="A50" s="144"/>
      <c r="B50" s="145"/>
      <c r="C50" s="145"/>
      <c r="D50" s="145"/>
      <c r="E50" s="145"/>
      <c r="F50" s="146"/>
    </row>
    <row r="51" spans="1:6" x14ac:dyDescent="0.3">
      <c r="A51" s="144"/>
      <c r="B51" s="145"/>
      <c r="C51" s="145"/>
      <c r="D51" s="145"/>
      <c r="E51" s="145"/>
      <c r="F51" s="146"/>
    </row>
    <row r="52" spans="1:6" x14ac:dyDescent="0.3">
      <c r="A52" s="144"/>
      <c r="B52" s="145"/>
      <c r="C52" s="145"/>
      <c r="D52" s="145"/>
      <c r="E52" s="145"/>
      <c r="F52" s="146"/>
    </row>
    <row r="53" spans="1:6" x14ac:dyDescent="0.3">
      <c r="A53" s="144"/>
      <c r="B53" s="145"/>
      <c r="C53" s="145"/>
      <c r="D53" s="145"/>
      <c r="E53" s="145"/>
      <c r="F53" s="146"/>
    </row>
    <row r="54" spans="1:6" x14ac:dyDescent="0.3">
      <c r="A54" s="144"/>
      <c r="B54" s="145"/>
      <c r="C54" s="145"/>
      <c r="D54" s="145"/>
      <c r="E54" s="145"/>
      <c r="F54" s="146"/>
    </row>
    <row r="55" spans="1:6" x14ac:dyDescent="0.3">
      <c r="A55" s="144"/>
      <c r="B55" s="145"/>
      <c r="C55" s="145"/>
      <c r="D55" s="145"/>
      <c r="E55" s="145"/>
      <c r="F55" s="146"/>
    </row>
    <row r="56" spans="1:6" x14ac:dyDescent="0.3">
      <c r="A56" s="144"/>
      <c r="B56" s="145"/>
      <c r="C56" s="145"/>
      <c r="D56" s="145"/>
      <c r="E56" s="145"/>
      <c r="F56" s="146"/>
    </row>
    <row r="57" spans="1:6" x14ac:dyDescent="0.3">
      <c r="A57" s="144"/>
      <c r="B57" s="145"/>
      <c r="C57" s="145"/>
      <c r="D57" s="145"/>
      <c r="E57" s="145"/>
      <c r="F57" s="146"/>
    </row>
    <row r="58" spans="1:6" x14ac:dyDescent="0.3">
      <c r="A58" s="144"/>
      <c r="B58" s="145"/>
      <c r="C58" s="145"/>
      <c r="D58" s="145"/>
      <c r="E58" s="145"/>
      <c r="F58" s="146"/>
    </row>
    <row r="59" spans="1:6" x14ac:dyDescent="0.3">
      <c r="A59" s="144"/>
      <c r="B59" s="145"/>
      <c r="C59" s="145"/>
      <c r="D59" s="145"/>
      <c r="E59" s="145"/>
      <c r="F59" s="146"/>
    </row>
    <row r="60" spans="1:6" ht="105" customHeight="1" thickBot="1" x14ac:dyDescent="0.35">
      <c r="A60" s="147"/>
      <c r="B60" s="148"/>
      <c r="C60" s="148"/>
      <c r="D60" s="148"/>
      <c r="E60" s="148"/>
      <c r="F60" s="149"/>
    </row>
  </sheetData>
  <mergeCells count="27">
    <mergeCell ref="A1:F1"/>
    <mergeCell ref="A8:F8"/>
    <mergeCell ref="A37:F37"/>
    <mergeCell ref="C40:D40"/>
    <mergeCell ref="C39:D39"/>
    <mergeCell ref="C36:D36"/>
    <mergeCell ref="C7:D7"/>
    <mergeCell ref="C22:D22"/>
    <mergeCell ref="C23:D23"/>
    <mergeCell ref="C24:D24"/>
    <mergeCell ref="C25:D25"/>
    <mergeCell ref="C26:D26"/>
    <mergeCell ref="E7:F7"/>
    <mergeCell ref="E3:F5"/>
    <mergeCell ref="A3:D5"/>
    <mergeCell ref="C27:D27"/>
    <mergeCell ref="A48:F60"/>
    <mergeCell ref="C38:D38"/>
    <mergeCell ref="E39:E40"/>
    <mergeCell ref="A46:B47"/>
    <mergeCell ref="C35:D35"/>
    <mergeCell ref="C28:D28"/>
    <mergeCell ref="C34:D34"/>
    <mergeCell ref="A6:F6"/>
    <mergeCell ref="C31:D31"/>
    <mergeCell ref="A2:F2"/>
    <mergeCell ref="C30:D30"/>
  </mergeCells>
  <pageMargins left="0.7" right="0.7" top="0.75" bottom="0.75" header="0.3" footer="0.3"/>
  <pageSetup paperSize="9" scale="80" fitToHeight="5" orientation="landscape" r:id="rId1"/>
  <rowBreaks count="2" manualBreakCount="2">
    <brk id="28" max="16383" man="1"/>
    <brk id="45" max="16383" man="1"/>
  </rowBreaks>
  <ignoredErrors>
    <ignoredError sqref="F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17"/>
  <sheetViews>
    <sheetView view="pageBreakPreview" topLeftCell="A3" zoomScale="50" zoomScaleSheetLayoutView="50" workbookViewId="0">
      <selection activeCell="C13" sqref="C13"/>
    </sheetView>
  </sheetViews>
  <sheetFormatPr defaultColWidth="8.88671875" defaultRowHeight="18" x14ac:dyDescent="0.3"/>
  <cols>
    <col min="1" max="1" width="8.5546875" style="18" customWidth="1"/>
    <col min="2" max="2" width="216.88671875" style="16" customWidth="1"/>
    <col min="3" max="3" width="12.44140625" style="16" customWidth="1"/>
    <col min="4" max="4" width="51.44140625" style="55" customWidth="1"/>
    <col min="5" max="16384" width="8.88671875" style="16"/>
  </cols>
  <sheetData>
    <row r="1" spans="1:4" ht="21" x14ac:dyDescent="0.3">
      <c r="A1" s="181" t="s">
        <v>175</v>
      </c>
      <c r="B1" s="181"/>
      <c r="C1" s="93"/>
      <c r="D1" s="180" t="s">
        <v>174</v>
      </c>
    </row>
    <row r="2" spans="1:4" ht="21" x14ac:dyDescent="0.3">
      <c r="A2" s="181"/>
      <c r="B2" s="181"/>
      <c r="C2" s="94"/>
      <c r="D2" s="180"/>
    </row>
    <row r="3" spans="1:4" ht="21" x14ac:dyDescent="0.3">
      <c r="A3" s="181"/>
      <c r="B3" s="181"/>
      <c r="C3" s="95"/>
      <c r="D3" s="180"/>
    </row>
    <row r="4" spans="1:4" ht="25.8" x14ac:dyDescent="0.3">
      <c r="A4" s="191" t="s">
        <v>375</v>
      </c>
      <c r="B4" s="192"/>
      <c r="C4" s="192"/>
      <c r="D4" s="192"/>
    </row>
    <row r="5" spans="1:4" x14ac:dyDescent="0.3">
      <c r="A5" s="77" t="s">
        <v>0</v>
      </c>
      <c r="B5" s="77" t="s">
        <v>29</v>
      </c>
      <c r="C5" s="77" t="s">
        <v>27</v>
      </c>
      <c r="D5" s="77" t="s">
        <v>28</v>
      </c>
    </row>
    <row r="6" spans="1:4" x14ac:dyDescent="0.3">
      <c r="A6" s="26">
        <v>1</v>
      </c>
      <c r="B6" s="27" t="s">
        <v>1</v>
      </c>
      <c r="C6" s="31"/>
      <c r="D6" s="32"/>
    </row>
    <row r="7" spans="1:4" ht="126" x14ac:dyDescent="0.3">
      <c r="A7" s="26">
        <v>1.1000000000000001</v>
      </c>
      <c r="B7" s="32" t="s">
        <v>176</v>
      </c>
      <c r="C7" s="97"/>
      <c r="D7" s="65" t="str">
        <f>IF(C7="","",(IF(C7=0,"Status not defined", IF(AND(C7&gt;=1,C7&lt;=3), " Status vaguely defined", IF(AND(C7&gt;=4,C7&lt;=5), "Status clearly defined",IF(C7&gt;5,"Error",""))))))</f>
        <v/>
      </c>
    </row>
    <row r="8" spans="1:4" ht="409.5" customHeight="1" x14ac:dyDescent="0.3">
      <c r="A8" s="26">
        <v>1.2</v>
      </c>
      <c r="B8" s="32" t="s">
        <v>227</v>
      </c>
      <c r="C8" s="97"/>
      <c r="D8" s="65" t="str">
        <f>IF(C8="","",(IF(AND(C8&gt;=0,C8&lt;=2), "Weak", IF(AND(C8&gt;=3,C8&lt;=6), "Overlapping", IF(AND(C8&gt;=7,C8&lt;=10), "Well laid out",IF(C8&gt;10,"Error",""))))))</f>
        <v/>
      </c>
    </row>
    <row r="9" spans="1:4" ht="156.75" customHeight="1" x14ac:dyDescent="0.3">
      <c r="A9" s="26">
        <v>1.3</v>
      </c>
      <c r="B9" s="32" t="s">
        <v>177</v>
      </c>
      <c r="C9" s="97"/>
      <c r="D9" s="65" t="str">
        <f>IF(C9="","",(IF(AND(C9&gt;=0,C9&lt;1), "Power not delineated", IF(AND(C9&gt;=1,C9&lt;=5), "Power not clearly delineated", IF(AND(C9&gt;=6,C9&lt;=10), "Power clearly delineated",IF(C9&gt;10,"Error",""))))))</f>
        <v/>
      </c>
    </row>
    <row r="10" spans="1:4" x14ac:dyDescent="0.3">
      <c r="A10" s="26">
        <v>2</v>
      </c>
      <c r="B10" s="28" t="s">
        <v>316</v>
      </c>
      <c r="C10" s="31"/>
      <c r="D10" s="32"/>
    </row>
    <row r="11" spans="1:4" ht="168" customHeight="1" x14ac:dyDescent="0.3">
      <c r="A11" s="26">
        <v>2.1</v>
      </c>
      <c r="B11" s="32" t="s">
        <v>408</v>
      </c>
      <c r="C11" s="97"/>
      <c r="D11" s="65" t="str">
        <f>IF(C11="","",(IF(AND(C11&gt;=0,C11&lt;1), "Non existing", IF(AND(C11&gt;=1,C11&lt;=8), "Existing but not stable ", IF(AND(C11&gt;=9,C11&lt;=17), "Stable",IF(AND(C11&gt;=18,C11&lt;=25),"Highly Stable",IF(C11&gt;25,"Error","")))))))</f>
        <v/>
      </c>
    </row>
    <row r="12" spans="1:4" x14ac:dyDescent="0.3">
      <c r="A12" s="26">
        <v>3</v>
      </c>
      <c r="B12" s="17" t="s">
        <v>2</v>
      </c>
      <c r="C12" s="31"/>
      <c r="D12" s="32"/>
    </row>
    <row r="13" spans="1:4" ht="126" x14ac:dyDescent="0.3">
      <c r="A13" s="26">
        <v>3.1</v>
      </c>
      <c r="B13" s="32" t="s">
        <v>399</v>
      </c>
      <c r="C13" s="31"/>
      <c r="D13" s="32"/>
    </row>
    <row r="14" spans="1:4" ht="126" x14ac:dyDescent="0.3">
      <c r="A14" s="26" t="s">
        <v>3</v>
      </c>
      <c r="B14" s="32" t="s">
        <v>409</v>
      </c>
      <c r="C14" s="97"/>
      <c r="D14" s="65" t="str">
        <f>IF(C14="","",(IF(AND(C14&gt;=0,C14&lt;=9), "Poorly staffed", IF(AND(C14&gt;=10,C14&lt;=30), "Adequately staffed", IF(AND(C14&gt;=31,C14&lt;=45), "Well staffed",IF(C14&gt;45,"Error",""))))))</f>
        <v/>
      </c>
    </row>
    <row r="15" spans="1:4" ht="180" x14ac:dyDescent="0.3">
      <c r="A15" s="26" t="s">
        <v>4</v>
      </c>
      <c r="B15" s="32" t="s">
        <v>340</v>
      </c>
      <c r="C15" s="97"/>
      <c r="D15" s="65" t="str">
        <f>IF(C15="","",(IF(AND(C15&gt;=0,C15&lt;1), "No visiting faculty", IF(AND(C15&gt;=1,C15&lt;=3), "More than allowed", IF(AND(C15&gt;=4,C15&lt;=7), "Less than allowed",IF(AND(C15&gt;=8,C15&lt;=15),"Adequately Allowed",IF(C15&gt;15,"Error","")))))))</f>
        <v/>
      </c>
    </row>
    <row r="16" spans="1:4" ht="144" x14ac:dyDescent="0.3">
      <c r="A16" s="26" t="s">
        <v>5</v>
      </c>
      <c r="B16" s="32" t="s">
        <v>178</v>
      </c>
      <c r="C16" s="97"/>
      <c r="D16" s="65" t="str">
        <f>IF(C16="","",(IF(AND(C16&gt;=0,C16&lt;=5), "More than allowed", IF(AND(C16&gt;=6,C16&lt;=9), "Allowed", IF(AND(C16&gt;=10,C16&lt;=15), "Less than allowed",IF(C16&gt;15,"Error",""))))))</f>
        <v/>
      </c>
    </row>
    <row r="17" spans="1:4" ht="188.4" customHeight="1" x14ac:dyDescent="0.3">
      <c r="A17" s="26" t="s">
        <v>6</v>
      </c>
      <c r="B17" s="32" t="s">
        <v>410</v>
      </c>
      <c r="C17" s="97"/>
      <c r="D17" s="65" t="str">
        <f>IF(C17="","",(IF(AND(C17&gt;=0,C17&lt;=12), "Weak Faculty", IF(AND(C17&gt;=13,C17&lt;=25), "Reasonable Faculty", IF(AND(C17&gt;=26,C17&lt;=40), "Strong Faculty",IF(C17&gt;40,"Error",""))))))</f>
        <v/>
      </c>
    </row>
    <row r="18" spans="1:4" ht="409.5" customHeight="1" x14ac:dyDescent="0.3">
      <c r="A18" s="26" t="s">
        <v>7</v>
      </c>
      <c r="B18" s="32" t="s">
        <v>228</v>
      </c>
      <c r="C18" s="97"/>
      <c r="D18" s="65" t="str">
        <f>IF(C18="","",(IF(AND(C18&gt;=0,C18&lt;1), "No system of training in place", IF(AND(C18&gt;=1,C18&lt;=10), "Some orientation but no formal training", IF(AND(C18&gt;=11,C18&lt;=20), "Systematic training scheme in place",IF(C18&gt;20,"Error",""))))))</f>
        <v/>
      </c>
    </row>
    <row r="19" spans="1:4" ht="126" x14ac:dyDescent="0.3">
      <c r="A19" s="26" t="s">
        <v>8</v>
      </c>
      <c r="B19" s="32" t="s">
        <v>179</v>
      </c>
      <c r="C19" s="97"/>
      <c r="D19" s="65" t="str">
        <f>IF(C19="","",(IF(AND(C19&gt;=0,C19&lt;1), "Excellent", IF(AND(C19&gt;=1,C19&lt;=12), "Good", IF(AND(C19&gt;=13,C19&lt;=30), "Poor",IF(C19&gt;30,"Error",""))))))</f>
        <v/>
      </c>
    </row>
    <row r="20" spans="1:4" ht="108" x14ac:dyDescent="0.3">
      <c r="A20" s="26" t="s">
        <v>9</v>
      </c>
      <c r="B20" s="32" t="s">
        <v>180</v>
      </c>
      <c r="C20" s="97"/>
      <c r="D20" s="65" t="str">
        <f>IF(C20="","",(IF(AND(C20&gt;=0,C20&lt;=2), "Low", IF(AND(C20&gt;=3,C20&lt;=9), "Reasonable", IF(AND(C20&gt;=10,C20&lt;=20), "Good",IF(C20&gt;20,"Error",""))))))</f>
        <v/>
      </c>
    </row>
    <row r="21" spans="1:4" ht="90" x14ac:dyDescent="0.3">
      <c r="A21" s="26" t="s">
        <v>10</v>
      </c>
      <c r="B21" s="32" t="s">
        <v>181</v>
      </c>
      <c r="C21" s="97"/>
      <c r="D21" s="65" t="str">
        <f>IF(C21="","",(IF(AND(C21&gt;=0,C21&lt;1),"Not registered with the PCATP",IF(AND(C21&gt;=1,C21&lt;=10)," Registered with the PCATP",IF(C21&gt;10,"Error","")))))</f>
        <v/>
      </c>
    </row>
    <row r="22" spans="1:4" ht="270" x14ac:dyDescent="0.3">
      <c r="A22" s="26" t="s">
        <v>11</v>
      </c>
      <c r="B22" s="32" t="s">
        <v>182</v>
      </c>
      <c r="C22" s="97"/>
      <c r="D22" s="65" t="str">
        <f>IF(C22="","",(IF(AND(C22&gt;=0,C22&lt;=5), "Average load more than prescribed", IF(AND(C22&gt;=6,C22&lt;=12), "Average load manageable", IF(AND(C22&gt;=13,C22&lt;=20), "Average load nearly as prescribed",IF(C22&gt;20,"Error",""))))))</f>
        <v/>
      </c>
    </row>
    <row r="23" spans="1:4" ht="144" x14ac:dyDescent="0.3">
      <c r="A23" s="26" t="s">
        <v>12</v>
      </c>
      <c r="B23" s="32" t="s">
        <v>183</v>
      </c>
      <c r="C23" s="97"/>
      <c r="D23" s="65" t="str">
        <f>IF(C23="","",(IF(AND(C23&gt;=0,C23&lt;=3), "Very high", IF(AND(C23&gt;=4,C23&lt;=9), "High", IF(AND(C23&gt;=10,C23&lt;=20), "Appropriate",IF(C23&gt;20,"Error",""))))))</f>
        <v/>
      </c>
    </row>
    <row r="24" spans="1:4" ht="216" x14ac:dyDescent="0.3">
      <c r="A24" s="26" t="s">
        <v>13</v>
      </c>
      <c r="B24" s="32" t="s">
        <v>359</v>
      </c>
      <c r="C24" s="97"/>
      <c r="D24" s="65" t="str">
        <f>IF(C24="","",(IF(AND(C24&gt;=0,C24&lt;=2), "(&gt; 14) Credit-Hours / Week", IF(AND(C24&gt;=3,C24&lt;=9), "(12 - 14) Credit-Hours / Week", IF(AND(C24&gt;=10,C24&lt;=15), "(8 - 12) Credit-Hours / Week",IF(C24&gt;15,"Error",""))))))</f>
        <v/>
      </c>
    </row>
    <row r="25" spans="1:4" ht="34.799999999999997" x14ac:dyDescent="0.3">
      <c r="A25" s="26">
        <v>4</v>
      </c>
      <c r="B25" s="28" t="s">
        <v>173</v>
      </c>
      <c r="C25" s="31"/>
      <c r="D25" s="32"/>
    </row>
    <row r="26" spans="1:4" ht="90" x14ac:dyDescent="0.3">
      <c r="A26" s="26">
        <v>4.0999999999999996</v>
      </c>
      <c r="B26" s="32" t="s">
        <v>184</v>
      </c>
      <c r="C26" s="97"/>
      <c r="D26" s="65" t="str">
        <f>IF(C26="","",(IF(AND(C26&gt;=0,C26&lt;1), "Not defined", IF(AND(C26&gt;=1,C26&lt;=5), "Vaguely defined", IF(AND(C26&gt;=6,C26&lt;=10), "Well Defined",IF(C26&gt;10,"Error",""))))))</f>
        <v/>
      </c>
    </row>
    <row r="27" spans="1:4" x14ac:dyDescent="0.3">
      <c r="A27" s="26">
        <v>4.2</v>
      </c>
      <c r="B27" s="31" t="s">
        <v>14</v>
      </c>
      <c r="C27" s="31"/>
      <c r="D27" s="32"/>
    </row>
    <row r="28" spans="1:4" ht="204" customHeight="1" x14ac:dyDescent="0.3">
      <c r="A28" s="26" t="s">
        <v>15</v>
      </c>
      <c r="B28" s="32" t="s">
        <v>345</v>
      </c>
      <c r="C28" s="97"/>
      <c r="D28" s="65" t="str">
        <f>IF(C28="","",(IF(AND(C28&gt;=0,C28&lt;=9), "Not well structured and not in line with HEC/PCATP Guidelines", IF(AND(C28&gt;=10,C28&lt;=15), "Closely structured to the HEC/PCATP requirements", IF(AND(C28&gt;=16,C28&lt;=20), "Well structured and rich in contents as compared to HEC/PCATP Guidelines",IF(C28&gt;20,"Error",""))))))</f>
        <v/>
      </c>
    </row>
    <row r="29" spans="1:4" ht="112.95" customHeight="1" x14ac:dyDescent="0.3">
      <c r="A29" s="26">
        <v>4.3</v>
      </c>
      <c r="B29" s="34" t="s">
        <v>370</v>
      </c>
      <c r="C29" s="31"/>
      <c r="D29" s="32"/>
    </row>
    <row r="30" spans="1:4" ht="144" x14ac:dyDescent="0.3">
      <c r="A30" s="26" t="s">
        <v>16</v>
      </c>
      <c r="B30" s="32" t="s">
        <v>360</v>
      </c>
      <c r="C30" s="97"/>
      <c r="D30" s="65" t="str">
        <f>IF(C30="","",(IF(AND(C30&gt;=0,C30&lt;1), "Unsatisfactory", IF(AND(C30&gt;=1,C30&lt;=5), "Satisfactory", IF(AND(C30&gt;=6,C30&lt;=10), "Good",IF(AND(C30&gt;=11,C30&lt;=15),"Excellent",IF(C30&gt;15,"Error","")))))))</f>
        <v/>
      </c>
    </row>
    <row r="31" spans="1:4" ht="144" x14ac:dyDescent="0.3">
      <c r="A31" s="26" t="s">
        <v>17</v>
      </c>
      <c r="B31" s="32" t="s">
        <v>361</v>
      </c>
      <c r="C31" s="97"/>
      <c r="D31" s="65" t="str">
        <f>IF(C31="","",(IF(AND(C31&gt;=0,C31&lt;1), "Unsatisfactory", IF(AND(C31&gt;=1,C31&lt;=7), "Satisfactory", IF(AND(C31&gt;=8,C31&lt;=15), "Good",IF(AND(C31&gt;=16,C31&lt;=25),"Excellent",IF(C31&gt;25,"Error","")))))))</f>
        <v/>
      </c>
    </row>
    <row r="32" spans="1:4" ht="126" x14ac:dyDescent="0.3">
      <c r="A32" s="26">
        <v>4.4000000000000004</v>
      </c>
      <c r="B32" s="32" t="s">
        <v>185</v>
      </c>
      <c r="C32" s="97"/>
      <c r="D32" s="65" t="str">
        <f>IF(C32="","",(IF(AND(C32&gt;=0,C32&lt;=2), "Sub - Standard", IF(AND(C32&gt;=3,C32&lt;=5), "Acceptable", IF(AND(C32&gt;=6,C32&lt;=10), "Highly Recommended",IF(C32&gt;10,"Error",""))))))</f>
        <v/>
      </c>
    </row>
    <row r="33" spans="1:4" ht="126" x14ac:dyDescent="0.3">
      <c r="A33" s="26">
        <v>4.5</v>
      </c>
      <c r="B33" s="32" t="s">
        <v>362</v>
      </c>
      <c r="C33" s="97"/>
      <c r="D33" s="65" t="str">
        <f>IF(C33="","",(IF(AND(C33&gt;=0,C33&lt;=2), "Insufficient", IF(AND(C33&gt;=3,C33&lt;=5), "Sufficient (close to PCATP guidelines)", IF(AND(C33&gt;=6,C33&lt;=10), "More than PCATP guidelines",IF(C33&gt;10,"Error",""))))))</f>
        <v/>
      </c>
    </row>
    <row r="34" spans="1:4" ht="126" x14ac:dyDescent="0.3">
      <c r="A34" s="26">
        <v>4.5999999999999996</v>
      </c>
      <c r="B34" s="32" t="s">
        <v>186</v>
      </c>
      <c r="C34" s="97"/>
      <c r="D34" s="65" t="str">
        <f>IF(C34="","",(IF(AND(C34&gt;=0,C34&lt;1), "No revision", IF(AND(C34&gt;=1,C34&lt;=4), "Revised occasionally", IF(AND(C34&gt;=5,C34&lt;=10), "Revised regularly",IF(C34&gt;10,"Error",""))))))</f>
        <v/>
      </c>
    </row>
    <row r="35" spans="1:4" ht="52.8" x14ac:dyDescent="0.3">
      <c r="A35" s="26">
        <v>5</v>
      </c>
      <c r="B35" s="28" t="s">
        <v>309</v>
      </c>
      <c r="C35" s="31"/>
      <c r="D35" s="32"/>
    </row>
    <row r="36" spans="1:4" ht="90" x14ac:dyDescent="0.3">
      <c r="A36" s="26">
        <v>5.0999999999999996</v>
      </c>
      <c r="B36" s="32" t="s">
        <v>346</v>
      </c>
      <c r="C36" s="97"/>
      <c r="D36" s="65" t="str">
        <f>IF(C36="","",(IF(AND(C36&gt;=0,C36&lt;=8), "Not available / non - operational / low quality", IF(AND(C36&gt;=9,C36&lt;=24), "Inadequate and partly operational / medium quality", IF(AND(C36&gt;=25,C36&lt;=40), "Adequate, fully operational and good quality",IF(C36&gt;40,"Error",""))))))</f>
        <v/>
      </c>
    </row>
    <row r="37" spans="1:4" ht="90" x14ac:dyDescent="0.3">
      <c r="A37" s="26">
        <v>5.2</v>
      </c>
      <c r="B37" s="32" t="s">
        <v>187</v>
      </c>
      <c r="C37" s="97"/>
      <c r="D37" s="65" t="str">
        <f>IF(C37="","",(IF(AND(C37&gt;=0,C37&lt;=4), "Poorly utilized", IF(AND(C37&gt;=5,C37&lt;=10), "Inadequately utilized", IF(AND(C37&gt;=11,C37&lt;=20), "Properly utilized",IF(C37&gt;20,"Error",""))))))</f>
        <v/>
      </c>
    </row>
    <row r="38" spans="1:4" ht="90" x14ac:dyDescent="0.3">
      <c r="A38" s="26">
        <v>5.3</v>
      </c>
      <c r="B38" s="32" t="s">
        <v>188</v>
      </c>
      <c r="C38" s="97"/>
      <c r="D38" s="65" t="str">
        <f>IF(C38="","",(IF(AND(C38&gt;=0,C38&lt;1), "Not available", IF(AND(C38&gt;=1,C38&lt;=5), "Available but not sufficient", IF(AND(C38&gt;=6,C38&lt;=10), "Available in sufficient number",IF(C38&gt;10,"Error",""))))))</f>
        <v/>
      </c>
    </row>
    <row r="39" spans="1:4" ht="126" x14ac:dyDescent="0.3">
      <c r="A39" s="26">
        <v>5.4</v>
      </c>
      <c r="B39" s="32" t="s">
        <v>385</v>
      </c>
      <c r="C39" s="97"/>
      <c r="D39" s="65" t="str">
        <f>IF(C39="","",(IF(AND(C39&gt;=0,C39&lt;=3), "Unqualified", IF(AND(C39&gt;=4,C39&lt;=7), "Poorly qualified", IF(AND(C39&gt;=8,C39&lt;=10), "Well qualified",IF(C39&gt;10,"Error",""))))))</f>
        <v/>
      </c>
    </row>
    <row r="40" spans="1:4" ht="90" x14ac:dyDescent="0.3">
      <c r="A40" s="26">
        <v>5.5</v>
      </c>
      <c r="B40" s="32" t="s">
        <v>189</v>
      </c>
      <c r="C40" s="97"/>
      <c r="D40" s="65" t="str">
        <f>IF(C40="","",(IF(AND(C40&gt;=0,C40&lt;=2), "Poor", IF(AND(C40&gt;=3,C40&lt;=4), "Good", IF(AND(C40&gt;=5,C40&lt;5.1), "Very Good",IF(C40&gt;6,"Error",""))))))</f>
        <v/>
      </c>
    </row>
    <row r="41" spans="1:4" ht="108" x14ac:dyDescent="0.3">
      <c r="A41" s="26">
        <v>5.6</v>
      </c>
      <c r="B41" s="32" t="s">
        <v>190</v>
      </c>
      <c r="C41" s="97"/>
      <c r="D41" s="65" t="str">
        <f>IF(C41="","",(IF(AND(C41&gt;=0,C41&lt;=2), "Poor", IF(AND(C41&gt;=3,C41&lt;=4), "Good", IF(AND(C41&gt;=5,C41&lt;=7), "Very Good",IF(AND(C41&gt;=8,C41&lt;=10),"Excellent",IF(C41&gt;10,"Error","")))))))</f>
        <v/>
      </c>
    </row>
    <row r="42" spans="1:4" ht="54" x14ac:dyDescent="0.3">
      <c r="A42" s="26">
        <v>6</v>
      </c>
      <c r="B42" s="35" t="s">
        <v>191</v>
      </c>
      <c r="C42" s="31"/>
      <c r="D42" s="32"/>
    </row>
    <row r="43" spans="1:4" ht="144" x14ac:dyDescent="0.3">
      <c r="A43" s="26">
        <v>6.1</v>
      </c>
      <c r="B43" s="32" t="s">
        <v>192</v>
      </c>
      <c r="C43" s="97"/>
      <c r="D43" s="65" t="str">
        <f>IF(C43="","",(IF(AND(C43&gt;=0,C43&lt;=7), "Inadequate", IF(AND(C43&gt;=8,C43&lt;=16), "Adequate", IF(AND(C43&gt;=17,C43&lt;=30), "More than adequate",IF(C43&gt;30,"Error",""))))))</f>
        <v/>
      </c>
    </row>
    <row r="44" spans="1:4" ht="144" x14ac:dyDescent="0.3">
      <c r="A44" s="26">
        <v>6.2</v>
      </c>
      <c r="B44" s="32" t="s">
        <v>382</v>
      </c>
      <c r="C44" s="97"/>
      <c r="D44" s="65" t="str">
        <f>IF(C44="","",(IF(AND(C44&gt;=0,C44&lt;1), "No books", IF(AND(C44&gt;=1,C44&lt;=12), "Insufficient books", IF(AND(C44&gt;=13,C44&lt;=30), "Sufficient books",IF(C44&gt;30,"Error",""))))))</f>
        <v/>
      </c>
    </row>
    <row r="45" spans="1:4" ht="126" x14ac:dyDescent="0.3">
      <c r="A45" s="26">
        <v>6.3</v>
      </c>
      <c r="B45" s="32" t="s">
        <v>193</v>
      </c>
      <c r="C45" s="97"/>
      <c r="D45" s="65" t="str">
        <f>IF(C45="","",(IF(AND(C45&gt;=0,C45&lt;1), "Non-existing", IF(AND(C45&gt;=1,C45&lt;=6), "Existing, but insufficient", IF(AND(C45&gt;=7,C45&lt;=15), "Sufficient",IF(C45&gt;15,"Error",""))))))</f>
        <v/>
      </c>
    </row>
    <row r="46" spans="1:4" ht="144" x14ac:dyDescent="0.3">
      <c r="A46" s="26">
        <v>6.4</v>
      </c>
      <c r="B46" s="32" t="s">
        <v>194</v>
      </c>
      <c r="C46" s="97"/>
      <c r="D46" s="65" t="str">
        <f>IF(C46="","",(IF(AND(C46&gt;=0,C46&lt;1), "Non-existing", IF(AND(C46&gt;=1,C46&lt;=7), "Insufficient", IF(AND(C46&gt;=8,C46&lt;=15), "Sufficient",IF(C46&gt;15,"Error",""))))))</f>
        <v/>
      </c>
    </row>
    <row r="47" spans="1:4" ht="162" x14ac:dyDescent="0.3">
      <c r="A47" s="26">
        <v>6.5</v>
      </c>
      <c r="B47" s="32" t="s">
        <v>195</v>
      </c>
      <c r="C47" s="97"/>
      <c r="D47" s="65" t="str">
        <f>IF(C47="","",(IF(AND(C47&gt;=0,C47&lt;1), "Non-existing", IF(AND(C47&gt;=1,C47&lt;2), "Insufficient", IF(AND(C47&gt;=2,C47&lt;=5), "Sufficient but variety not available",IF(AND(C47&gt;=6,C47&lt;=10),"Sufficient and variety available",IF(C47&gt;10,"Error","")))))))</f>
        <v/>
      </c>
    </row>
    <row r="48" spans="1:4" x14ac:dyDescent="0.3">
      <c r="A48" s="26">
        <v>7</v>
      </c>
      <c r="B48" s="28" t="s">
        <v>308</v>
      </c>
      <c r="C48" s="31"/>
      <c r="D48" s="32"/>
    </row>
    <row r="49" spans="1:4" x14ac:dyDescent="0.3">
      <c r="A49" s="26">
        <v>7.1</v>
      </c>
      <c r="B49" s="36" t="s">
        <v>372</v>
      </c>
      <c r="C49" s="31"/>
      <c r="D49" s="32"/>
    </row>
    <row r="50" spans="1:4" ht="126" x14ac:dyDescent="0.3">
      <c r="A50" s="26" t="s">
        <v>18</v>
      </c>
      <c r="B50" s="32" t="s">
        <v>196</v>
      </c>
      <c r="C50" s="97"/>
      <c r="D50" s="65" t="str">
        <f>IF(C50="","",(IF(AND(C50&gt;=0,C50&lt;=4), "Unsatisfactory", IF(AND(C50&gt;=5,C50&lt;=12), "Satisfactory", IF(AND(C50&gt;=13,C50&lt;=20), "Excellent",IF(C50&gt;20,"Error",""))))))</f>
        <v/>
      </c>
    </row>
    <row r="51" spans="1:4" ht="108" x14ac:dyDescent="0.3">
      <c r="A51" s="26" t="s">
        <v>19</v>
      </c>
      <c r="B51" s="32" t="s">
        <v>197</v>
      </c>
      <c r="C51" s="97"/>
      <c r="D51" s="65" t="str">
        <f>IF(C51="","",(IF(AND(C51&gt;=0,C51&lt;=10),"Unsatisfactory",IF(AND(C51&gt;=11,C51&lt;=20),"Satisfactory",IF(C51&gt;20,"Error","")))))</f>
        <v/>
      </c>
    </row>
    <row r="52" spans="1:4" ht="54" x14ac:dyDescent="0.3">
      <c r="A52" s="26">
        <v>7.2</v>
      </c>
      <c r="B52" s="32" t="s">
        <v>373</v>
      </c>
      <c r="C52" s="31"/>
      <c r="D52" s="32"/>
    </row>
    <row r="53" spans="1:4" ht="90" x14ac:dyDescent="0.3">
      <c r="A53" s="26" t="s">
        <v>20</v>
      </c>
      <c r="B53" s="32" t="s">
        <v>198</v>
      </c>
      <c r="C53" s="97"/>
      <c r="D53" s="65" t="str">
        <f>IF(C53="","",(IF(AND(C53&gt;=0,C53&lt;=5), "Unsatisfactory", IF(AND(C53&gt;=6,C53&lt;=9), "Satisfactory", IF(AND(C53&gt;=10,C53&lt;=15), "Good",IF(C53&gt;15,"Error",""))))))</f>
        <v/>
      </c>
    </row>
    <row r="54" spans="1:4" ht="90" x14ac:dyDescent="0.3">
      <c r="A54" s="26" t="s">
        <v>21</v>
      </c>
      <c r="B54" s="32" t="s">
        <v>199</v>
      </c>
      <c r="C54" s="97"/>
      <c r="D54" s="65" t="str">
        <f>IF(C54="","",(IF(AND(C54&gt;=0,C54&lt;=4), "Unsatisfactory", IF(AND(C54&gt;=5,C54&lt;=12), "Satisfactory", IF(AND(C54&gt;=13,C54&lt;=20), "Good",IF(C54&gt;20,"Error",""))))))</f>
        <v/>
      </c>
    </row>
    <row r="55" spans="1:4" ht="324" x14ac:dyDescent="0.3">
      <c r="A55" s="26">
        <v>7.3</v>
      </c>
      <c r="B55" s="32" t="s">
        <v>200</v>
      </c>
      <c r="C55" s="97"/>
      <c r="D55" s="65" t="str">
        <f>IF(C55="","",(IF(AND(C55&gt;=0,C55&lt;1), "Course file not maintained", IF(AND(C55&gt;=1,C55&lt;=9), "Course file maintained but not properly organized", IF(AND(C55&gt;=11,C55&lt;=20), "Course file maintained and well organized",IF(C55&gt;20,"Error",""))))))</f>
        <v/>
      </c>
    </row>
    <row r="56" spans="1:4" ht="126" x14ac:dyDescent="0.3">
      <c r="A56" s="26">
        <v>7.4</v>
      </c>
      <c r="B56" s="32" t="s">
        <v>363</v>
      </c>
      <c r="C56" s="97"/>
      <c r="D56" s="65" t="str">
        <f>IF(C56="","",(IF(AND(C56&gt;=0,C56&lt;1), "No system in place", IF(AND(C56&gt;=1,C56&lt;=5), "System in place but not effective", IF(AND(C56&gt;=6,C56&lt;=10), "System in place and highly effective",IF(C56&gt;10,"Error",""))))))</f>
        <v/>
      </c>
    </row>
    <row r="57" spans="1:4" x14ac:dyDescent="0.3">
      <c r="A57" s="26">
        <v>8</v>
      </c>
      <c r="B57" s="28" t="s">
        <v>22</v>
      </c>
      <c r="C57" s="31"/>
      <c r="D57" s="32"/>
    </row>
    <row r="58" spans="1:4" ht="234" x14ac:dyDescent="0.3">
      <c r="A58" s="26">
        <v>8.1</v>
      </c>
      <c r="B58" s="32" t="s">
        <v>347</v>
      </c>
      <c r="C58" s="97"/>
      <c r="D58" s="65" t="str">
        <f>IF(C58="","",(IF(AND(C58&gt;=0,C58&lt;=6), "Unsatisfactory", IF(AND(C58&gt;=7,C58&lt;=12), "Satisfactory", IF(AND(C58&gt;=13,C58&lt;=20), "Good",IF(C58&gt;20,"Error",""))))))</f>
        <v/>
      </c>
    </row>
    <row r="59" spans="1:4" ht="126" x14ac:dyDescent="0.3">
      <c r="A59" s="26">
        <v>8.1999999999999993</v>
      </c>
      <c r="B59" s="32" t="s">
        <v>201</v>
      </c>
      <c r="C59" s="97"/>
      <c r="D59" s="65" t="str">
        <f>IF(C59="","",(IF(AND(C59&gt;=0,C59&lt;=8), "Very high", IF(AND(C59&gt;=9,C59&lt;=16), "Low", IF(AND(C59&gt;=17,C59&lt;=25), "Very Low",IF(C59&gt;25,"Error",""))))))</f>
        <v/>
      </c>
    </row>
    <row r="60" spans="1:4" ht="144" x14ac:dyDescent="0.3">
      <c r="A60" s="26">
        <v>8.3000000000000007</v>
      </c>
      <c r="B60" s="32" t="s">
        <v>202</v>
      </c>
      <c r="C60" s="97"/>
      <c r="D60" s="65" t="str">
        <f>IF(C60="","",(IF(AND(C60&gt;=0,C60&lt;1), "Unmanageable", IF(AND(C60&gt;=1,C60&lt;=5), "Large", IF(AND(C60&gt;=6,C60&lt;=9), "Manageable",IF(AND(C60&gt;=10,C60&lt;=15),"Correct",IF(C60&gt;15,"Error","")))))))</f>
        <v/>
      </c>
    </row>
    <row r="61" spans="1:4" ht="34.799999999999997" x14ac:dyDescent="0.3">
      <c r="A61" s="26">
        <v>9</v>
      </c>
      <c r="B61" s="28" t="s">
        <v>23</v>
      </c>
      <c r="C61" s="31"/>
      <c r="D61" s="32"/>
    </row>
    <row r="62" spans="1:4" ht="126" x14ac:dyDescent="0.3">
      <c r="A62" s="26">
        <v>9.1</v>
      </c>
      <c r="B62" s="32" t="s">
        <v>364</v>
      </c>
      <c r="C62" s="97"/>
      <c r="D62" s="65" t="str">
        <f>IF(C62="","",(IF(AND(C62&gt;=0,C62&lt;=5), "Inadequate", IF(AND(C62&gt;=6,C62&lt;=8), "Adequate", IF(AND(C62&gt;=9,C62&lt;=15), "More than adequate",IF(C62&gt;15,"Error",""))))))</f>
        <v/>
      </c>
    </row>
    <row r="63" spans="1:4" ht="90" x14ac:dyDescent="0.3">
      <c r="A63" s="26">
        <v>9.1999999999999993</v>
      </c>
      <c r="B63" s="32" t="s">
        <v>203</v>
      </c>
      <c r="C63" s="97"/>
      <c r="D63" s="65" t="str">
        <f>IF(C63="","",(IF(AND(C63&gt;=0,C63&lt;=4), "Non-existing  but managing", IF(AND(C63&gt;=5,C63&lt;=9), "Satisfactory", IF(AND(C63&gt;=10,C63&lt;=15), "Good",IF(C63&gt;15,"Error",""))))))</f>
        <v/>
      </c>
    </row>
    <row r="64" spans="1:4" ht="126" x14ac:dyDescent="0.3">
      <c r="A64" s="26">
        <v>9.3000000000000007</v>
      </c>
      <c r="B64" s="32" t="s">
        <v>342</v>
      </c>
      <c r="C64" s="97"/>
      <c r="D64" s="65" t="str">
        <f>IF(C64="","",(IF(AND(C64&gt;=0,C64&lt;1), "Not available", IF(AND(C64&gt;=1,C64&lt;=5), "Inadequate", IF(AND(C64&gt;=6,C64&lt;=10), "Adequate",IF(C64&gt;10,"Error",""))))))</f>
        <v/>
      </c>
    </row>
    <row r="65" spans="1:4" ht="126" x14ac:dyDescent="0.3">
      <c r="A65" s="26">
        <v>10</v>
      </c>
      <c r="B65" s="32" t="s">
        <v>341</v>
      </c>
      <c r="C65" s="97"/>
      <c r="D65" s="65" t="str">
        <f>IF(C65="","",(IF(AND(C65&gt;=0,C65&lt;1), "Not available", IF(AND(C65&gt;=1,C65&lt;=5), "Inadequate", IF(AND(C65&gt;=6,C65&lt;=10), "Adequate",IF(C65&gt;10,"Error",""))))))</f>
        <v/>
      </c>
    </row>
    <row r="66" spans="1:4" ht="126" x14ac:dyDescent="0.3">
      <c r="A66" s="26">
        <v>11</v>
      </c>
      <c r="B66" s="32" t="s">
        <v>317</v>
      </c>
      <c r="C66" s="97"/>
      <c r="D66" s="65" t="str">
        <f>IF(C66="","",(IF(AND(C66&gt;=0,C66&lt;1), "Not available", IF(AND(C66&gt;=1,C66&lt;=8), "Available but not Sufficient", IF(AND(C66&gt;=9,C66&lt;=15), "Adequate",IF(C66&gt;15,"Error",""))))))</f>
        <v/>
      </c>
    </row>
    <row r="67" spans="1:4" x14ac:dyDescent="0.3">
      <c r="A67" s="26">
        <v>12</v>
      </c>
      <c r="B67" s="31" t="s">
        <v>24</v>
      </c>
      <c r="C67" s="31"/>
      <c r="D67" s="32"/>
    </row>
    <row r="68" spans="1:4" ht="162" x14ac:dyDescent="0.3">
      <c r="A68" s="26">
        <v>12.1</v>
      </c>
      <c r="B68" s="32" t="s">
        <v>348</v>
      </c>
      <c r="C68" s="97"/>
      <c r="D68" s="65" t="str">
        <f>IF(C68="","",(IF(AND(C68&gt;=0,C68&lt;1), "Too large", IF(AND(C68&gt;=1,C68&lt;=3), "Large", IF(AND(C68&gt;=7,C68&lt;=7), "Manageable",IF(AND(C68&gt;=8,C68&lt;=10),"Correct Size",IF(C68&gt;10,"Error","")))))))</f>
        <v/>
      </c>
    </row>
    <row r="69" spans="1:4" ht="126" x14ac:dyDescent="0.3">
      <c r="A69" s="26">
        <v>12.2</v>
      </c>
      <c r="B69" s="32" t="s">
        <v>204</v>
      </c>
      <c r="C69" s="97"/>
      <c r="D69" s="65" t="str">
        <f>IF(C69="","",(IF(AND(C69&gt;=0,C69&lt;=3), "Large", IF(AND(C69&gt;=4,C69&lt;=5), "Manageable", IF(AND(C69&gt;=6,C69&lt;=10), "Correct Size",IF(C69&gt;10,"Error",""))))))</f>
        <v/>
      </c>
    </row>
    <row r="70" spans="1:4" ht="126" x14ac:dyDescent="0.3">
      <c r="A70" s="26">
        <v>13</v>
      </c>
      <c r="B70" s="32" t="s">
        <v>205</v>
      </c>
      <c r="C70" s="97"/>
      <c r="D70" s="65" t="str">
        <f>IF(C70="","",(IF(AND(C70&gt;=0,C70&lt;1), "No counseling at all", IF(AND(C70&gt;=1,C70&lt;=5), "Some counseling", IF(AND(C70&gt;=6,C70&lt;=10), "Well organized counseling",IF(C70&gt;10,"Error",""))))))</f>
        <v/>
      </c>
    </row>
    <row r="71" spans="1:4" ht="54" x14ac:dyDescent="0.3">
      <c r="A71" s="26">
        <v>14</v>
      </c>
      <c r="B71" s="32" t="s">
        <v>206</v>
      </c>
      <c r="C71" s="31"/>
      <c r="D71" s="32"/>
    </row>
    <row r="72" spans="1:4" ht="108" x14ac:dyDescent="0.3">
      <c r="A72" s="26">
        <v>14.1</v>
      </c>
      <c r="B72" s="32" t="s">
        <v>207</v>
      </c>
      <c r="C72" s="97"/>
      <c r="D72" s="65" t="str">
        <f>IF(C72="","",(IF(AND(C72&gt;=0,C72&lt;=8), "Poor accommodation", IF(AND(C72&gt;=9,C72&lt;=20), "Inadequate accommodation", IF(AND(C72&gt;=21,C72&lt;=40), "Adequate accommodation",IF(C72&gt;40,"Error",""))))))</f>
        <v/>
      </c>
    </row>
    <row r="73" spans="1:4" ht="72" x14ac:dyDescent="0.3">
      <c r="A73" s="26">
        <v>14.2</v>
      </c>
      <c r="B73" s="32" t="s">
        <v>208</v>
      </c>
      <c r="C73" s="97"/>
      <c r="D73" s="65" t="str">
        <f>IF(C73="","",(IF(AND(C73&gt;=0,C73&lt;1), "Non-existing", IF(AND(C73&gt;=1,C73&lt;=5), "Inadequate", IF(AND(C73&gt;=6,C73&lt;=10), "Adequate",IF(C73&gt;10,"Error",""))))))</f>
        <v/>
      </c>
    </row>
    <row r="74" spans="1:4" ht="90" x14ac:dyDescent="0.3">
      <c r="A74" s="26">
        <v>14.3</v>
      </c>
      <c r="B74" s="32" t="s">
        <v>209</v>
      </c>
      <c r="C74" s="97"/>
      <c r="D74" s="65" t="str">
        <f>IF(C74="","",(IF(AND(C74&gt;=0,C74&lt;1), "Non-existing", IF(AND(C74&gt;=1,C74&lt;=5), "Inadequate", IF(AND(C74&gt;=6,C74&lt;=10), "Adequate",IF(C74&gt;10,"Error",""))))))</f>
        <v/>
      </c>
    </row>
    <row r="75" spans="1:4" ht="126" x14ac:dyDescent="0.3">
      <c r="A75" s="26">
        <v>14.4</v>
      </c>
      <c r="B75" s="32" t="s">
        <v>210</v>
      </c>
      <c r="C75" s="97"/>
      <c r="D75" s="65" t="str">
        <f>IF(C75="","",(IF(AND(C75&gt;=0,C75&lt;=4), "Not available but manageable", IF(AND(C75&gt;=5,C75&lt;=10), "Partially available", IF(AND(C75&gt;=11,C75&lt;=15), "Available",IF(C75&gt;15,"Error",""))))))</f>
        <v/>
      </c>
    </row>
    <row r="76" spans="1:4" ht="144" x14ac:dyDescent="0.3">
      <c r="A76" s="26">
        <v>15</v>
      </c>
      <c r="B76" s="32" t="s">
        <v>211</v>
      </c>
      <c r="C76" s="97"/>
      <c r="D76" s="65" t="str">
        <f>IF(C76="","",(IF(AND(C76&gt;=0,C76&lt;1), "Unreasonably Low", IF(AND(C76&gt;=1,C76&lt;1.1), "Low", IF(AND(C76&gt;=2,C76&lt;=5), "High",IF(AND(C76&gt;=6,C76&lt;=10),"Very High",IF(C76&gt;10,"Error","")))))))</f>
        <v/>
      </c>
    </row>
    <row r="77" spans="1:4" ht="90" x14ac:dyDescent="0.3">
      <c r="A77" s="26">
        <v>16</v>
      </c>
      <c r="B77" s="32" t="s">
        <v>212</v>
      </c>
      <c r="C77" s="97"/>
      <c r="D77" s="65" t="str">
        <f>IF(C77="","",(IF(AND(C77&gt;=0,C77&lt;=3), "Extremely high dropouts", IF(AND(C77&gt;=4,C77&lt;=7), "Reasonable dropouts", IF(AND(C77&gt;=7,C77&lt;=10), "Minimum dropouts",IF(C77&gt;10,"Error",""))))))</f>
        <v/>
      </c>
    </row>
    <row r="78" spans="1:4" ht="126" x14ac:dyDescent="0.3">
      <c r="A78" s="26">
        <v>17</v>
      </c>
      <c r="B78" s="32" t="s">
        <v>366</v>
      </c>
      <c r="C78" s="97"/>
      <c r="D78" s="65" t="str">
        <f>IF(C78="","",(IF(AND(C78&gt;=0,C78&lt;=2), "Unduly long", IF(AND(C78&gt;=3,C78&lt;=7), "Longer than minimum prescribed duration", IF(AND(C78&gt;=8,C78&lt;=10), "Within minimum prescribed duration",IF(C78&gt;10,"Error",""))))))</f>
        <v/>
      </c>
    </row>
    <row r="79" spans="1:4" ht="126" x14ac:dyDescent="0.3">
      <c r="A79" s="26">
        <v>18</v>
      </c>
      <c r="B79" s="32" t="s">
        <v>213</v>
      </c>
      <c r="C79" s="97"/>
      <c r="D79" s="65" t="str">
        <f>IF(C79="","",(IF(AND(C79&gt;=0,C79&lt;1), "No provision", IF(AND(C79&gt;=1,C79&lt;=5), "Reasonable provision", IF(AND(C79&gt;=6,C79&lt;=10), "Adequate",IF(C79&gt;10,"Error",""))))))</f>
        <v/>
      </c>
    </row>
    <row r="80" spans="1:4" x14ac:dyDescent="0.3">
      <c r="A80" s="26">
        <v>19</v>
      </c>
      <c r="B80" s="31" t="s">
        <v>25</v>
      </c>
      <c r="C80" s="31"/>
      <c r="D80" s="32"/>
    </row>
    <row r="81" spans="1:4" ht="126" x14ac:dyDescent="0.3">
      <c r="A81" s="26">
        <v>19.100000000000001</v>
      </c>
      <c r="B81" s="32" t="s">
        <v>214</v>
      </c>
      <c r="C81" s="97"/>
      <c r="D81" s="65" t="str">
        <f>IF(C81="","",(IF(AND(C81&gt;=0,C81&lt;0), "Does not exist", IF(AND(C81&gt;=1,C81&lt;=4), "Exists but not functionally operative", IF(AND(C81&gt;=5,C81&lt;=10), " Exists and operative",IF(C81&gt;10,"Error",""))))))</f>
        <v/>
      </c>
    </row>
    <row r="82" spans="1:4" ht="162" x14ac:dyDescent="0.3">
      <c r="A82" s="26">
        <v>19.2</v>
      </c>
      <c r="B82" s="32" t="s">
        <v>215</v>
      </c>
      <c r="C82" s="97"/>
      <c r="D82" s="65" t="str">
        <f>IF(C82="","",(IF(AND(C82&gt;=0,C82&lt;1), "Not available", IF(AND(C82&gt;=1,C82&lt;=4), "Unsatisfied", IF(AND(C82&gt;=5,C82&lt;=10), "Satisfied",IF(AND(C82&gt;=11,C82&lt;=15),"Extremely satisfied",IF(C82&gt;15,"Error","")))))))</f>
        <v/>
      </c>
    </row>
    <row r="83" spans="1:4" ht="174" customHeight="1" x14ac:dyDescent="0.3">
      <c r="A83" s="26">
        <v>19.3</v>
      </c>
      <c r="B83" s="32" t="s">
        <v>386</v>
      </c>
      <c r="C83" s="97"/>
      <c r="D83" s="65" t="str">
        <f>IF(C83="","",(IF(AND(C83&gt;=0,C83&lt;=3), "Not good", IF(AND(C83&gt;=4,C83&lt;=11), "Reasonably good", IF(AND(C83&gt;=12,C83&lt;=17), "Very good",IF(AND(C83&gt;=18,C83&lt;=25),"Excellent",IF(C83&gt;25,"Error","")))))))</f>
        <v/>
      </c>
    </row>
    <row r="84" spans="1:4" ht="126" x14ac:dyDescent="0.3">
      <c r="A84" s="26">
        <v>19.399999999999999</v>
      </c>
      <c r="B84" s="32" t="s">
        <v>216</v>
      </c>
      <c r="C84" s="97"/>
      <c r="D84" s="65" t="str">
        <f>IF(C84="","",(IF(AND(C84&gt;=0,C84&lt;1), "Poor", IF(AND(C84&gt;=1,C84&lt;=10), "Good", IF(AND(C84&gt;=11,C84&lt;=20), "Excellent",IF(C84&gt;20,"Error",""))))))</f>
        <v/>
      </c>
    </row>
    <row r="85" spans="1:4" ht="126" x14ac:dyDescent="0.3">
      <c r="A85" s="26">
        <v>19.5</v>
      </c>
      <c r="B85" s="32" t="s">
        <v>343</v>
      </c>
      <c r="C85" s="97"/>
      <c r="D85" s="65" t="str">
        <f>IF(C85="","",(IF(AND(C85&gt;=0,C85&lt;=3), "Poor", IF(AND(C85&gt;=4,C85&lt;=7), "Good", IF(AND(C85&gt;=8,C85&lt;=10), "Excellent",IF(C85&gt;10,"Error",""))))))</f>
        <v/>
      </c>
    </row>
    <row r="86" spans="1:4" ht="126" x14ac:dyDescent="0.3">
      <c r="A86" s="26">
        <v>19.600000000000001</v>
      </c>
      <c r="B86" s="32" t="s">
        <v>344</v>
      </c>
      <c r="C86" s="97"/>
      <c r="D86" s="65" t="str">
        <f>IF(C86="","",(IF(AND(C86&gt;=0,C86&lt;=3), "Unsatisfactory", IF(AND(C86&gt;=4,C86&lt;=7), "Satisfactory", IF(AND(C86&gt;=8,C86&lt;=10), "Good",IF(C86&gt;10,"Error",""))))))</f>
        <v/>
      </c>
    </row>
    <row r="87" spans="1:4" ht="72" x14ac:dyDescent="0.3">
      <c r="A87" s="26">
        <v>20</v>
      </c>
      <c r="B87" s="32" t="s">
        <v>319</v>
      </c>
      <c r="C87" s="31"/>
      <c r="D87" s="32"/>
    </row>
    <row r="88" spans="1:4" ht="90" x14ac:dyDescent="0.3">
      <c r="A88" s="26">
        <v>20.100000000000001</v>
      </c>
      <c r="B88" s="32" t="s">
        <v>217</v>
      </c>
      <c r="C88" s="97"/>
      <c r="D88" s="65" t="str">
        <f>IF(C88="","",(IF(AND(C88&gt;=0,C88&lt;1), "Nil", IF(AND(C88&gt;=1,C88&lt;=9), "Reasonable", IF(AND(C88&gt;=10,C88&lt;=15), "Sufficient",IF(C88&gt;15,"Error",""))))))</f>
        <v/>
      </c>
    </row>
    <row r="89" spans="1:4" ht="90" x14ac:dyDescent="0.3">
      <c r="A89" s="26">
        <v>20.2</v>
      </c>
      <c r="B89" s="32" t="s">
        <v>218</v>
      </c>
      <c r="C89" s="97"/>
      <c r="D89" s="65" t="str">
        <f>IF(C89="","",(IF(AND(C89&gt;=0,C89&lt;1), "Not used", IF(AND(C89&gt;=1,C89&lt;=5), "Reasonably used", IF(AND(C89&gt;=6,C89&lt;=10), "Appropriately used",IF(C89&gt;10,"Error",""))))))</f>
        <v/>
      </c>
    </row>
    <row r="90" spans="1:4" ht="158.4" customHeight="1" x14ac:dyDescent="0.3">
      <c r="A90" s="26">
        <v>20.3</v>
      </c>
      <c r="B90" s="32" t="s">
        <v>381</v>
      </c>
      <c r="C90" s="97"/>
      <c r="D90" s="65" t="str">
        <f>IF(C90="","",(IF(AND(C90&gt;=0,C90&lt;1), "Ni;", IF(AND(C90&gt;=1,C90&lt;=15), "Reasonable", IF(AND(C90&gt;=16,C90&lt;=30), "Good",IF(C90&gt;30,"Error",""))))))</f>
        <v/>
      </c>
    </row>
    <row r="91" spans="1:4" ht="90" x14ac:dyDescent="0.3">
      <c r="A91" s="26">
        <v>20.399999999999999</v>
      </c>
      <c r="B91" s="32" t="s">
        <v>219</v>
      </c>
      <c r="C91" s="97"/>
      <c r="D91" s="65" t="str">
        <f>IF(C91="","",(IF(AND(C91&gt;=0,C91&lt;1), "Nil", IF(AND(C91&gt;=1,C91&lt;=7), "Moderate", IF(AND(C91&gt;=8,C91&lt;=15), "Appropriate",IF(C91&gt;15,"Error",""))))))</f>
        <v/>
      </c>
    </row>
    <row r="92" spans="1:4" ht="162" x14ac:dyDescent="0.3">
      <c r="A92" s="26">
        <v>20.5</v>
      </c>
      <c r="B92" s="32" t="s">
        <v>220</v>
      </c>
      <c r="C92" s="97"/>
      <c r="D92" s="65" t="str">
        <f>IF(C92="","",(IF(AND(C92&gt;=0,C92&lt;1), "No system of collaboration", IF(AND(C92&gt;=1,C92&lt;=5), "Weekly established", IF(AND(C92&gt;=6,C92&lt;=12), "Inadequately established",IF(AND(C92&gt;=13,C92&lt;=20),"Adequately established",IF(C92&gt;20,"Error","")))))))</f>
        <v/>
      </c>
    </row>
    <row r="93" spans="1:4" ht="90" x14ac:dyDescent="0.3">
      <c r="A93" s="26">
        <v>20.6</v>
      </c>
      <c r="B93" s="32" t="s">
        <v>221</v>
      </c>
      <c r="C93" s="97"/>
      <c r="D93" s="65" t="str">
        <f>IF(C93="","",(IF(AND(C93&gt;=0,C93&lt;1), "No book written", IF(AND(C93&gt;=1,C93&lt;=5), "Some manuals but no formal book published", IF(AND(C93&gt;=6,C93&lt;=10), "Book(s) Published",IF(C93&gt;10,"Error",""))))))</f>
        <v/>
      </c>
    </row>
    <row r="94" spans="1:4" ht="90" x14ac:dyDescent="0.3">
      <c r="A94" s="26">
        <v>20.7</v>
      </c>
      <c r="B94" s="32" t="s">
        <v>222</v>
      </c>
      <c r="C94" s="97"/>
      <c r="D94" s="65" t="str">
        <f>IF(C94="","",(IF(AND(C94&gt;=0,C94&lt;1), "No provision", IF(AND(C94&gt;=1,C94&lt;=4), "Irregular provision", IF(AND(C94&gt;=5,C94&lt;=10), "Regular provision",IF(C94&gt;10,"Error",""))))))</f>
        <v/>
      </c>
    </row>
    <row r="95" spans="1:4" ht="126" x14ac:dyDescent="0.3">
      <c r="A95" s="26">
        <v>20.8</v>
      </c>
      <c r="B95" s="32" t="s">
        <v>223</v>
      </c>
      <c r="C95" s="97"/>
      <c r="D95" s="65" t="str">
        <f>IF(C95="","",(IF(AND(C95&gt;=0,C95&lt;1), "Non existing", IF(AND(C95&gt;=1,C95&lt;=11), "Inadequate", IF(AND(C95&gt;=12,C95&lt;=20), "Adequate",IF(C95&gt;20,"Error",""))))))</f>
        <v/>
      </c>
    </row>
    <row r="96" spans="1:4" ht="126" x14ac:dyDescent="0.3">
      <c r="A96" s="26">
        <v>20.9</v>
      </c>
      <c r="B96" s="32" t="s">
        <v>224</v>
      </c>
      <c r="C96" s="97"/>
      <c r="D96" s="65" t="str">
        <f>IF(C96="","",(IF(AND(C96&gt;=0,C96&lt;=3), "Low", IF(AND(C96&gt;=4,C96&lt;=7), "Reasonable", IF(AND(C96&gt;=8,C96&lt;=10), "Fully accessible",IF(C96&gt;10,"Error",""))))))</f>
        <v/>
      </c>
    </row>
    <row r="97" spans="1:4" x14ac:dyDescent="0.3">
      <c r="A97" s="26">
        <v>21</v>
      </c>
      <c r="B97" s="36" t="s">
        <v>26</v>
      </c>
      <c r="C97" s="31"/>
      <c r="D97" s="32"/>
    </row>
    <row r="98" spans="1:4" ht="198" x14ac:dyDescent="0.3">
      <c r="A98" s="26">
        <v>21.1</v>
      </c>
      <c r="B98" s="32" t="s">
        <v>225</v>
      </c>
      <c r="C98" s="97"/>
      <c r="D98" s="65" t="str">
        <f>IF(C98="","",(IF(AND(C98&gt;=0,C98&lt;1), "No Liaison Office", IF(AND(C98&gt;=1,C98&lt;=3), "Liaison office available but without a proper system", IF(AND(C98&gt;=4,C98&lt;=7), "A liaison office exists with proper staff and supporting mechanism but no formal linkage established",IF(AND(C98&gt;=7,C98&lt;=10),"A well organized liaison office in place with proper staff and supporting mechanism which has resulted in some type of linkage",IF(C98&gt;10,"Error","")))))))</f>
        <v/>
      </c>
    </row>
    <row r="99" spans="1:4" ht="162" x14ac:dyDescent="0.3">
      <c r="A99" s="26">
        <v>21.2</v>
      </c>
      <c r="B99" s="32" t="s">
        <v>226</v>
      </c>
      <c r="C99" s="97"/>
      <c r="D99" s="65" t="str">
        <f>IF(C99="","",(IF(AND(C99&gt;=0,C99&lt;1), "No efforts made for commercialization of research", IF(AND(C99&gt;=1,C99&lt;=8), "Some efforts made but without success", IF(AND(C99&gt;=9,C99&lt;=14), "Some commercialization realized",IF(AND(C99&gt;=15,C99&lt;=20),"Significant commercialization realized",IF(C99&gt;20,"Error","")))))))</f>
        <v/>
      </c>
    </row>
    <row r="100" spans="1:4" ht="144.6" thickBot="1" x14ac:dyDescent="0.35">
      <c r="A100" s="68">
        <v>22</v>
      </c>
      <c r="B100" s="73" t="s">
        <v>320</v>
      </c>
      <c r="C100" s="97"/>
      <c r="D100" s="69" t="str">
        <f>IF(C100="","",(IF(AND(C100&gt;=0,C100&lt;1), "Not available", IF(AND(C100&gt;=1,C100&lt;=8), "Available but accreditation data are not complete", IF(AND(C100&gt;=9,C100&lt;=20), "Relevant accreditation data available and complete",IF(C100&gt;20,"Error",""))))))</f>
        <v/>
      </c>
    </row>
    <row r="101" spans="1:4" ht="18.600000000000001" thickBot="1" x14ac:dyDescent="0.35">
      <c r="A101" s="70"/>
      <c r="B101" s="71"/>
      <c r="C101" s="71"/>
      <c r="D101" s="72"/>
    </row>
    <row r="102" spans="1:4" ht="18" customHeight="1" x14ac:dyDescent="0.3">
      <c r="A102" s="182" t="s">
        <v>400</v>
      </c>
      <c r="B102" s="183"/>
      <c r="C102" s="183"/>
      <c r="D102" s="184"/>
    </row>
    <row r="103" spans="1:4" ht="18" customHeight="1" x14ac:dyDescent="0.3">
      <c r="A103" s="185"/>
      <c r="B103" s="186"/>
      <c r="C103" s="186"/>
      <c r="D103" s="187"/>
    </row>
    <row r="104" spans="1:4" ht="18" customHeight="1" x14ac:dyDescent="0.3">
      <c r="A104" s="185"/>
      <c r="B104" s="186"/>
      <c r="C104" s="186"/>
      <c r="D104" s="187"/>
    </row>
    <row r="105" spans="1:4" ht="18" customHeight="1" x14ac:dyDescent="0.3">
      <c r="A105" s="185"/>
      <c r="B105" s="186"/>
      <c r="C105" s="186"/>
      <c r="D105" s="187"/>
    </row>
    <row r="106" spans="1:4" ht="18" customHeight="1" x14ac:dyDescent="0.3">
      <c r="A106" s="185"/>
      <c r="B106" s="186"/>
      <c r="C106" s="186"/>
      <c r="D106" s="187"/>
    </row>
    <row r="107" spans="1:4" ht="18" customHeight="1" x14ac:dyDescent="0.3">
      <c r="A107" s="185"/>
      <c r="B107" s="186"/>
      <c r="C107" s="186"/>
      <c r="D107" s="187"/>
    </row>
    <row r="108" spans="1:4" ht="18" customHeight="1" x14ac:dyDescent="0.3">
      <c r="A108" s="185"/>
      <c r="B108" s="186"/>
      <c r="C108" s="186"/>
      <c r="D108" s="187"/>
    </row>
    <row r="109" spans="1:4" ht="18" customHeight="1" x14ac:dyDescent="0.3">
      <c r="A109" s="185"/>
      <c r="B109" s="186"/>
      <c r="C109" s="186"/>
      <c r="D109" s="187"/>
    </row>
    <row r="110" spans="1:4" ht="18" customHeight="1" x14ac:dyDescent="0.3">
      <c r="A110" s="185"/>
      <c r="B110" s="186"/>
      <c r="C110" s="186"/>
      <c r="D110" s="187"/>
    </row>
    <row r="111" spans="1:4" ht="18" customHeight="1" thickBot="1" x14ac:dyDescent="0.35">
      <c r="A111" s="188"/>
      <c r="B111" s="189"/>
      <c r="C111" s="189"/>
      <c r="D111" s="190"/>
    </row>
    <row r="112" spans="1:4" ht="18" customHeight="1" x14ac:dyDescent="0.3">
      <c r="A112" s="67"/>
      <c r="B112" s="67"/>
      <c r="C112" s="67"/>
      <c r="D112" s="67"/>
    </row>
    <row r="113" spans="1:4" ht="18" customHeight="1" x14ac:dyDescent="0.3">
      <c r="A113" s="66"/>
      <c r="B113" s="66"/>
      <c r="C113" s="66"/>
      <c r="D113" s="66"/>
    </row>
    <row r="114" spans="1:4" ht="18" customHeight="1" x14ac:dyDescent="0.3">
      <c r="A114" s="66"/>
      <c r="B114" s="66"/>
      <c r="C114" s="66"/>
      <c r="D114" s="66"/>
    </row>
    <row r="115" spans="1:4" ht="18" customHeight="1" x14ac:dyDescent="0.3">
      <c r="A115" s="66"/>
      <c r="B115" s="66"/>
      <c r="C115" s="66"/>
      <c r="D115" s="66"/>
    </row>
    <row r="116" spans="1:4" ht="18" customHeight="1" x14ac:dyDescent="0.3">
      <c r="A116" s="66"/>
      <c r="B116" s="66"/>
      <c r="C116" s="66"/>
      <c r="D116" s="66"/>
    </row>
    <row r="117" spans="1:4" ht="18" customHeight="1" x14ac:dyDescent="0.3">
      <c r="A117" s="66"/>
      <c r="B117" s="66"/>
      <c r="C117" s="66"/>
      <c r="D117" s="66"/>
    </row>
  </sheetData>
  <mergeCells count="4">
    <mergeCell ref="D1:D3"/>
    <mergeCell ref="A1:B3"/>
    <mergeCell ref="A102:D111"/>
    <mergeCell ref="A4:D4"/>
  </mergeCells>
  <pageMargins left="0.7" right="0.7" top="0.75" bottom="0.75" header="0.3" footer="0.3"/>
  <pageSetup paperSize="9" scale="45" fitToHeight="100" orientation="landscape" r:id="rId1"/>
  <rowBreaks count="5" manualBreakCount="5">
    <brk id="9" max="3" man="1"/>
    <brk id="24" max="3" man="1"/>
    <brk id="44" max="3" man="1"/>
    <brk id="54" max="3" man="1"/>
    <brk id="66"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14"/>
  <sheetViews>
    <sheetView view="pageBreakPreview" topLeftCell="A4" zoomScale="80" zoomScaleNormal="80" zoomScaleSheetLayoutView="80" workbookViewId="0">
      <selection activeCell="P10" sqref="P10"/>
    </sheetView>
  </sheetViews>
  <sheetFormatPr defaultRowHeight="14.4" x14ac:dyDescent="0.3"/>
  <cols>
    <col min="1" max="1" width="16.88671875" customWidth="1"/>
    <col min="2" max="2" width="20.33203125" customWidth="1"/>
    <col min="3" max="4" width="6.6640625" customWidth="1"/>
    <col min="5" max="5" width="8.33203125" bestFit="1" customWidth="1"/>
    <col min="6" max="6" width="20.33203125" customWidth="1"/>
    <col min="7" max="8" width="6.6640625" customWidth="1"/>
    <col min="9" max="9" width="7.44140625" bestFit="1" customWidth="1"/>
    <col min="10" max="10" width="20.44140625" customWidth="1"/>
    <col min="11" max="12" width="6.6640625" customWidth="1"/>
    <col min="13" max="13" width="7.44140625" bestFit="1" customWidth="1"/>
    <col min="14" max="14" width="20.44140625" customWidth="1"/>
    <col min="15" max="16" width="6.6640625" customWidth="1"/>
    <col min="17" max="17" width="7.44140625" bestFit="1" customWidth="1"/>
  </cols>
  <sheetData>
    <row r="1" spans="1:17" ht="15.6" x14ac:dyDescent="0.3">
      <c r="A1" s="194" t="s">
        <v>166</v>
      </c>
      <c r="B1" s="194"/>
      <c r="C1" s="194"/>
      <c r="D1" s="194"/>
      <c r="E1" s="194"/>
      <c r="F1" s="194"/>
      <c r="G1" s="194"/>
      <c r="H1" s="194"/>
      <c r="I1" s="194"/>
      <c r="J1" s="194"/>
      <c r="K1" s="194"/>
      <c r="L1" s="194"/>
      <c r="M1" s="194"/>
      <c r="N1" s="194"/>
      <c r="O1" s="194"/>
      <c r="P1" s="194"/>
      <c r="Q1" s="194"/>
    </row>
    <row r="2" spans="1:17" ht="18" x14ac:dyDescent="0.3">
      <c r="A2" s="199" t="s">
        <v>377</v>
      </c>
      <c r="B2" s="200"/>
      <c r="C2" s="200"/>
      <c r="D2" s="200"/>
      <c r="E2" s="200"/>
      <c r="F2" s="200"/>
      <c r="G2" s="200"/>
      <c r="H2" s="200"/>
      <c r="I2" s="200"/>
      <c r="J2" s="200"/>
      <c r="K2" s="200"/>
      <c r="L2" s="200"/>
      <c r="M2" s="200"/>
      <c r="N2" s="200"/>
      <c r="O2" s="200"/>
      <c r="P2" s="200"/>
      <c r="Q2" s="201"/>
    </row>
    <row r="3" spans="1:17" x14ac:dyDescent="0.3">
      <c r="A3" s="99" t="s">
        <v>87</v>
      </c>
      <c r="B3" s="193" t="s">
        <v>88</v>
      </c>
      <c r="C3" s="193"/>
      <c r="D3" s="193"/>
      <c r="E3" s="193"/>
      <c r="F3" s="193"/>
      <c r="G3" s="193"/>
      <c r="H3" s="193"/>
      <c r="I3" s="193"/>
      <c r="J3" s="193"/>
      <c r="K3" s="193"/>
      <c r="L3" s="193"/>
      <c r="M3" s="193"/>
      <c r="N3" s="193"/>
      <c r="O3" s="193"/>
      <c r="P3" s="193"/>
      <c r="Q3" s="193"/>
    </row>
    <row r="4" spans="1:17" ht="150.6" customHeight="1" x14ac:dyDescent="0.3">
      <c r="A4" s="4" t="s">
        <v>89</v>
      </c>
      <c r="B4" s="5" t="s">
        <v>90</v>
      </c>
      <c r="C4" s="3" t="s">
        <v>115</v>
      </c>
      <c r="D4" s="3" t="s">
        <v>112</v>
      </c>
      <c r="E4" s="3" t="s">
        <v>113</v>
      </c>
      <c r="F4" s="5" t="s">
        <v>91</v>
      </c>
      <c r="G4" s="3" t="s">
        <v>115</v>
      </c>
      <c r="H4" s="3" t="s">
        <v>112</v>
      </c>
      <c r="I4" s="3" t="s">
        <v>113</v>
      </c>
      <c r="J4" s="5" t="s">
        <v>92</v>
      </c>
      <c r="K4" s="3" t="s">
        <v>115</v>
      </c>
      <c r="L4" s="3" t="s">
        <v>112</v>
      </c>
      <c r="M4" s="3" t="s">
        <v>113</v>
      </c>
      <c r="N4" s="5" t="s">
        <v>93</v>
      </c>
      <c r="O4" s="3" t="s">
        <v>115</v>
      </c>
      <c r="P4" s="3" t="s">
        <v>112</v>
      </c>
      <c r="Q4" s="3" t="s">
        <v>113</v>
      </c>
    </row>
    <row r="5" spans="1:17" ht="27.6" customHeight="1" x14ac:dyDescent="0.3">
      <c r="A5" s="195" t="s">
        <v>111</v>
      </c>
      <c r="B5" s="6" t="s">
        <v>94</v>
      </c>
      <c r="C5" s="9">
        <v>52</v>
      </c>
      <c r="D5" s="98"/>
      <c r="E5" s="64"/>
      <c r="F5" s="7" t="s">
        <v>95</v>
      </c>
      <c r="G5" s="9">
        <v>8</v>
      </c>
      <c r="H5" s="98"/>
      <c r="I5" s="64">
        <f>IF(H5="",0,H5-G5)</f>
        <v>0</v>
      </c>
      <c r="J5" s="7" t="s">
        <v>96</v>
      </c>
      <c r="K5" s="9">
        <v>8</v>
      </c>
      <c r="L5" s="98"/>
      <c r="M5" s="64">
        <f>IF(L5="",0,L5-K5)</f>
        <v>0</v>
      </c>
      <c r="N5" s="7" t="s">
        <v>391</v>
      </c>
      <c r="O5" s="9">
        <v>6</v>
      </c>
      <c r="P5" s="98"/>
      <c r="Q5" s="64">
        <f>IF(P5="",0,P5-O5)</f>
        <v>0</v>
      </c>
    </row>
    <row r="6" spans="1:17" ht="27.6" x14ac:dyDescent="0.3">
      <c r="A6" s="195"/>
      <c r="B6" s="6" t="s">
        <v>97</v>
      </c>
      <c r="C6" s="9">
        <v>10</v>
      </c>
      <c r="D6" s="98"/>
      <c r="E6" s="64">
        <f t="shared" ref="E6:E10" si="0">IF(D6="",0,D6-C6)</f>
        <v>0</v>
      </c>
      <c r="F6" s="7" t="s">
        <v>98</v>
      </c>
      <c r="G6" s="9">
        <v>4</v>
      </c>
      <c r="H6" s="98"/>
      <c r="I6" s="64">
        <f t="shared" ref="I6:I10" si="1">IF(H6="",0,H6-G6)</f>
        <v>0</v>
      </c>
      <c r="J6" s="7" t="s">
        <v>99</v>
      </c>
      <c r="K6" s="9">
        <v>4</v>
      </c>
      <c r="L6" s="98"/>
      <c r="M6" s="64">
        <f t="shared" ref="M6:M10" si="2">IF(L6="",0,L6-K6)</f>
        <v>0</v>
      </c>
      <c r="N6" s="7" t="s">
        <v>100</v>
      </c>
      <c r="O6" s="9">
        <v>4</v>
      </c>
      <c r="P6" s="98"/>
      <c r="Q6" s="64">
        <f t="shared" ref="Q6:Q10" si="3">IF(P6="",0,P6-O6)</f>
        <v>0</v>
      </c>
    </row>
    <row r="7" spans="1:17" ht="27.6" x14ac:dyDescent="0.3">
      <c r="A7" s="195"/>
      <c r="B7" s="6" t="s">
        <v>101</v>
      </c>
      <c r="C7" s="9">
        <v>20</v>
      </c>
      <c r="D7" s="98"/>
      <c r="E7" s="64">
        <f t="shared" si="0"/>
        <v>0</v>
      </c>
      <c r="F7" s="7" t="s">
        <v>102</v>
      </c>
      <c r="G7" s="9">
        <v>4</v>
      </c>
      <c r="H7" s="98"/>
      <c r="I7" s="64">
        <f t="shared" si="1"/>
        <v>0</v>
      </c>
      <c r="J7" s="7" t="s">
        <v>103</v>
      </c>
      <c r="K7" s="9">
        <v>2</v>
      </c>
      <c r="L7" s="98"/>
      <c r="M7" s="64">
        <f t="shared" si="2"/>
        <v>0</v>
      </c>
      <c r="N7" s="7" t="s">
        <v>104</v>
      </c>
      <c r="O7" s="9">
        <v>2</v>
      </c>
      <c r="P7" s="98"/>
      <c r="Q7" s="64">
        <f t="shared" si="3"/>
        <v>0</v>
      </c>
    </row>
    <row r="8" spans="1:17" ht="27.6" x14ac:dyDescent="0.3">
      <c r="A8" s="195"/>
      <c r="B8" s="6" t="s">
        <v>389</v>
      </c>
      <c r="C8" s="9"/>
      <c r="D8" s="98"/>
      <c r="E8" s="64">
        <f t="shared" si="0"/>
        <v>0</v>
      </c>
      <c r="F8" s="7" t="s">
        <v>105</v>
      </c>
      <c r="G8" s="9">
        <v>6</v>
      </c>
      <c r="H8" s="98"/>
      <c r="I8" s="64">
        <f t="shared" si="1"/>
        <v>0</v>
      </c>
      <c r="J8" s="7" t="s">
        <v>106</v>
      </c>
      <c r="K8" s="9">
        <v>2</v>
      </c>
      <c r="L8" s="98"/>
      <c r="M8" s="64">
        <f t="shared" si="2"/>
        <v>0</v>
      </c>
      <c r="N8" s="7" t="s">
        <v>107</v>
      </c>
      <c r="O8" s="9">
        <v>2</v>
      </c>
      <c r="P8" s="98"/>
      <c r="Q8" s="64">
        <f t="shared" si="3"/>
        <v>0</v>
      </c>
    </row>
    <row r="9" spans="1:17" ht="27.6" x14ac:dyDescent="0.3">
      <c r="A9" s="195"/>
      <c r="B9" s="6" t="s">
        <v>394</v>
      </c>
      <c r="C9" s="9"/>
      <c r="D9" s="98"/>
      <c r="E9" s="64">
        <f t="shared" si="0"/>
        <v>0</v>
      </c>
      <c r="F9" s="7" t="s">
        <v>388</v>
      </c>
      <c r="G9" s="9"/>
      <c r="H9" s="98"/>
      <c r="I9" s="64">
        <f t="shared" si="1"/>
        <v>0</v>
      </c>
      <c r="J9" s="7" t="s">
        <v>108</v>
      </c>
      <c r="K9" s="9">
        <v>2</v>
      </c>
      <c r="L9" s="98"/>
      <c r="M9" s="64">
        <f t="shared" si="2"/>
        <v>0</v>
      </c>
      <c r="N9" s="7" t="s">
        <v>109</v>
      </c>
      <c r="O9" s="9">
        <v>4</v>
      </c>
      <c r="P9" s="98"/>
      <c r="Q9" s="64">
        <f t="shared" si="3"/>
        <v>0</v>
      </c>
    </row>
    <row r="10" spans="1:17" ht="45" customHeight="1" x14ac:dyDescent="0.3">
      <c r="A10" s="195"/>
      <c r="B10" s="6" t="s">
        <v>395</v>
      </c>
      <c r="C10" s="9"/>
      <c r="D10" s="98"/>
      <c r="E10" s="64">
        <f t="shared" si="0"/>
        <v>0</v>
      </c>
      <c r="F10" s="7" t="s">
        <v>390</v>
      </c>
      <c r="G10" s="9"/>
      <c r="H10" s="98"/>
      <c r="I10" s="64">
        <f t="shared" si="1"/>
        <v>0</v>
      </c>
      <c r="J10" s="7" t="s">
        <v>110</v>
      </c>
      <c r="K10" s="9">
        <v>2</v>
      </c>
      <c r="L10" s="98"/>
      <c r="M10" s="64">
        <f t="shared" si="2"/>
        <v>0</v>
      </c>
      <c r="N10" s="7" t="s">
        <v>397</v>
      </c>
      <c r="O10" s="9"/>
      <c r="P10" s="98"/>
      <c r="Q10" s="64">
        <f t="shared" si="3"/>
        <v>0</v>
      </c>
    </row>
    <row r="11" spans="1:17" x14ac:dyDescent="0.3">
      <c r="A11" s="11" t="s">
        <v>114</v>
      </c>
      <c r="B11" s="7"/>
      <c r="C11" s="9">
        <f>SUM(C5:C10)</f>
        <v>82</v>
      </c>
      <c r="D11" s="9">
        <f>SUM(D5:D10)</f>
        <v>0</v>
      </c>
      <c r="E11" s="9"/>
      <c r="F11" s="7"/>
      <c r="G11" s="9">
        <f>SUM(G5:G10)</f>
        <v>22</v>
      </c>
      <c r="H11" s="9">
        <f>SUM(H5:H10)</f>
        <v>0</v>
      </c>
      <c r="I11" s="9"/>
      <c r="J11" s="7"/>
      <c r="K11" s="9">
        <f>SUM(K5:K10)</f>
        <v>20</v>
      </c>
      <c r="L11" s="9">
        <f>SUM(L5:L10)</f>
        <v>0</v>
      </c>
      <c r="M11" s="9"/>
      <c r="N11" s="8"/>
      <c r="O11" s="9">
        <f>SUM(O5:O10)</f>
        <v>18</v>
      </c>
      <c r="P11" s="9">
        <f>SUM(P5:P10)</f>
        <v>0</v>
      </c>
      <c r="Q11" s="9"/>
    </row>
    <row r="12" spans="1:17" ht="14.4" customHeight="1" x14ac:dyDescent="0.3">
      <c r="A12" s="196" t="s">
        <v>169</v>
      </c>
      <c r="B12" s="196"/>
      <c r="C12" s="196"/>
      <c r="D12" s="196"/>
      <c r="E12" s="196"/>
      <c r="F12" s="196"/>
      <c r="G12" s="196"/>
      <c r="H12" s="196"/>
      <c r="I12" s="196"/>
      <c r="J12" s="100">
        <f>D11+H11+L11+P11</f>
        <v>0</v>
      </c>
      <c r="K12" s="197" t="str">
        <f>IF(J12=0,"",IF(OR(D11&lt;80,(H11+L11+P11)&lt;58,D5=0,D6=0,D7=0,H5=0,H6=0,H7=0,H8=0,L5=0,L6=0,L7=0,L8=0,L9=0,L10=0,P5=0,P6=0,P7=0,P8=0,P9=0),"Unsatisfactory","Satisfactory"))</f>
        <v/>
      </c>
      <c r="L12" s="197"/>
      <c r="M12" s="197"/>
      <c r="N12" s="197"/>
      <c r="O12" s="197"/>
      <c r="P12" s="197"/>
      <c r="Q12" s="198"/>
    </row>
    <row r="13" spans="1:17" x14ac:dyDescent="0.3">
      <c r="A13" s="10"/>
    </row>
    <row r="14" spans="1:17" x14ac:dyDescent="0.3">
      <c r="E14" s="2"/>
    </row>
  </sheetData>
  <mergeCells count="6">
    <mergeCell ref="B3:Q3"/>
    <mergeCell ref="A1:Q1"/>
    <mergeCell ref="A5:A10"/>
    <mergeCell ref="A12:I12"/>
    <mergeCell ref="K12:Q12"/>
    <mergeCell ref="A2:Q2"/>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Q32"/>
  <sheetViews>
    <sheetView view="pageBreakPreview" topLeftCell="A23" zoomScale="80" zoomScaleNormal="80" zoomScaleSheetLayoutView="80" workbookViewId="0">
      <selection activeCell="G22" sqref="G22"/>
    </sheetView>
  </sheetViews>
  <sheetFormatPr defaultRowHeight="14.4" x14ac:dyDescent="0.3"/>
  <cols>
    <col min="1" max="1" width="5.88671875" customWidth="1"/>
    <col min="2" max="2" width="43.33203125" customWidth="1"/>
    <col min="3" max="3" width="10" style="127" customWidth="1"/>
    <col min="4" max="4" width="10" customWidth="1"/>
    <col min="5" max="5" width="5.88671875" customWidth="1"/>
    <col min="6" max="6" width="43.33203125" customWidth="1"/>
    <col min="7" max="7" width="10" style="127" customWidth="1"/>
    <col min="8" max="8" width="10" customWidth="1"/>
  </cols>
  <sheetData>
    <row r="1" spans="1:17" s="15" customFormat="1" ht="15.6" x14ac:dyDescent="0.3">
      <c r="A1" s="194" t="s">
        <v>167</v>
      </c>
      <c r="B1" s="194"/>
      <c r="C1" s="194"/>
      <c r="D1" s="194"/>
      <c r="E1" s="194"/>
      <c r="F1" s="194"/>
      <c r="G1" s="194"/>
      <c r="H1" s="194"/>
      <c r="I1" s="14"/>
      <c r="J1" s="14"/>
      <c r="K1" s="14"/>
      <c r="L1" s="14"/>
      <c r="M1" s="14"/>
      <c r="N1" s="14"/>
      <c r="O1" s="14"/>
      <c r="P1" s="14"/>
      <c r="Q1" s="14"/>
    </row>
    <row r="2" spans="1:17" s="15" customFormat="1" ht="18" x14ac:dyDescent="0.3">
      <c r="A2" s="203" t="s">
        <v>377</v>
      </c>
      <c r="B2" s="204"/>
      <c r="C2" s="204"/>
      <c r="D2" s="204"/>
      <c r="E2" s="204"/>
      <c r="F2" s="204"/>
      <c r="G2" s="204"/>
      <c r="H2" s="205"/>
      <c r="I2" s="14"/>
      <c r="J2" s="14"/>
      <c r="K2" s="14"/>
      <c r="L2" s="14"/>
      <c r="M2" s="14"/>
      <c r="N2" s="14"/>
      <c r="O2" s="14"/>
      <c r="P2" s="14"/>
      <c r="Q2" s="14"/>
    </row>
    <row r="3" spans="1:17" ht="57.6" x14ac:dyDescent="0.3">
      <c r="A3" s="101" t="s">
        <v>165</v>
      </c>
      <c r="B3" s="101" t="s">
        <v>163</v>
      </c>
      <c r="C3" s="101" t="s">
        <v>164</v>
      </c>
      <c r="D3" s="102" t="s">
        <v>27</v>
      </c>
      <c r="E3" s="101" t="s">
        <v>165</v>
      </c>
      <c r="F3" s="101" t="s">
        <v>163</v>
      </c>
      <c r="G3" s="101" t="s">
        <v>164</v>
      </c>
      <c r="H3" s="102" t="s">
        <v>27</v>
      </c>
    </row>
    <row r="4" spans="1:17" x14ac:dyDescent="0.3">
      <c r="A4" s="13">
        <v>1</v>
      </c>
      <c r="B4" s="12" t="s">
        <v>144</v>
      </c>
      <c r="C4" s="126"/>
      <c r="D4" s="12" t="str">
        <f>IF(C4="","",(IF(C4="Y",0.75,0)))</f>
        <v/>
      </c>
      <c r="E4" s="12">
        <v>26</v>
      </c>
      <c r="F4" s="12" t="s">
        <v>151</v>
      </c>
      <c r="G4" s="125"/>
      <c r="H4" s="12" t="str">
        <f>IF(G4="","",(IF(G4="Y",0.75,0)))</f>
        <v/>
      </c>
    </row>
    <row r="5" spans="1:17" x14ac:dyDescent="0.3">
      <c r="A5" s="13">
        <v>2</v>
      </c>
      <c r="B5" s="12" t="s">
        <v>116</v>
      </c>
      <c r="C5" s="126"/>
      <c r="D5" s="12"/>
      <c r="E5" s="12">
        <v>27</v>
      </c>
      <c r="F5" s="12" t="s">
        <v>137</v>
      </c>
      <c r="G5" s="125"/>
      <c r="H5" s="12" t="str">
        <f t="shared" ref="H5:H26" si="0">IF(G5="","",(IF(G5="Y",0.75,0)))</f>
        <v/>
      </c>
    </row>
    <row r="6" spans="1:17" x14ac:dyDescent="0.3">
      <c r="A6" s="13">
        <v>3</v>
      </c>
      <c r="B6" s="12" t="s">
        <v>145</v>
      </c>
      <c r="C6" s="126"/>
      <c r="D6" s="12" t="str">
        <f t="shared" ref="D6:D28" si="1">IF(C6="","",(IF(C6="Y",0.75,0)))</f>
        <v/>
      </c>
      <c r="E6" s="12">
        <v>28</v>
      </c>
      <c r="F6" s="12" t="s">
        <v>132</v>
      </c>
      <c r="G6" s="125"/>
      <c r="H6" s="12" t="str">
        <f t="shared" si="0"/>
        <v/>
      </c>
    </row>
    <row r="7" spans="1:17" x14ac:dyDescent="0.3">
      <c r="A7" s="13">
        <v>4</v>
      </c>
      <c r="B7" s="12" t="s">
        <v>393</v>
      </c>
      <c r="C7" s="126"/>
      <c r="D7" s="12" t="str">
        <f t="shared" si="1"/>
        <v/>
      </c>
      <c r="E7" s="12">
        <v>29</v>
      </c>
      <c r="F7" s="12" t="s">
        <v>138</v>
      </c>
      <c r="G7" s="125"/>
      <c r="H7" s="12" t="str">
        <f t="shared" si="0"/>
        <v/>
      </c>
    </row>
    <row r="8" spans="1:17" x14ac:dyDescent="0.3">
      <c r="A8" s="13">
        <v>5</v>
      </c>
      <c r="B8" s="12" t="s">
        <v>146</v>
      </c>
      <c r="C8" s="126"/>
      <c r="D8" s="12" t="str">
        <f t="shared" si="1"/>
        <v/>
      </c>
      <c r="E8" s="12">
        <v>30</v>
      </c>
      <c r="F8" s="12" t="s">
        <v>152</v>
      </c>
      <c r="G8" s="125"/>
      <c r="H8" s="12" t="str">
        <f t="shared" si="0"/>
        <v/>
      </c>
    </row>
    <row r="9" spans="1:17" x14ac:dyDescent="0.3">
      <c r="A9" s="13">
        <v>6</v>
      </c>
      <c r="B9" s="12" t="s">
        <v>392</v>
      </c>
      <c r="C9" s="126"/>
      <c r="D9" s="12" t="str">
        <f t="shared" si="1"/>
        <v/>
      </c>
      <c r="E9" s="12">
        <v>31</v>
      </c>
      <c r="F9" s="12" t="s">
        <v>133</v>
      </c>
      <c r="G9" s="125"/>
      <c r="H9" s="12" t="str">
        <f t="shared" si="0"/>
        <v/>
      </c>
    </row>
    <row r="10" spans="1:17" x14ac:dyDescent="0.3">
      <c r="A10" s="13">
        <v>7</v>
      </c>
      <c r="B10" s="12" t="s">
        <v>117</v>
      </c>
      <c r="C10" s="126"/>
      <c r="D10" s="12" t="str">
        <f t="shared" si="1"/>
        <v/>
      </c>
      <c r="E10" s="12">
        <v>32</v>
      </c>
      <c r="F10" s="12" t="s">
        <v>153</v>
      </c>
      <c r="G10" s="125"/>
      <c r="H10" s="12" t="str">
        <f t="shared" si="0"/>
        <v/>
      </c>
    </row>
    <row r="11" spans="1:17" x14ac:dyDescent="0.3">
      <c r="A11" s="13">
        <v>8</v>
      </c>
      <c r="B11" s="12" t="s">
        <v>118</v>
      </c>
      <c r="C11" s="126"/>
      <c r="D11" s="12" t="str">
        <f t="shared" si="1"/>
        <v/>
      </c>
      <c r="E11" s="12">
        <v>33</v>
      </c>
      <c r="F11" s="12" t="s">
        <v>134</v>
      </c>
      <c r="G11" s="125"/>
      <c r="H11" s="12" t="str">
        <f t="shared" si="0"/>
        <v/>
      </c>
    </row>
    <row r="12" spans="1:17" x14ac:dyDescent="0.3">
      <c r="A12" s="13">
        <v>9</v>
      </c>
      <c r="B12" s="12" t="s">
        <v>119</v>
      </c>
      <c r="C12" s="126"/>
      <c r="D12" s="12" t="str">
        <f t="shared" si="1"/>
        <v/>
      </c>
      <c r="E12" s="12">
        <v>34</v>
      </c>
      <c r="F12" s="12" t="s">
        <v>154</v>
      </c>
      <c r="G12" s="125"/>
      <c r="H12" s="12" t="str">
        <f t="shared" si="0"/>
        <v/>
      </c>
    </row>
    <row r="13" spans="1:17" x14ac:dyDescent="0.3">
      <c r="A13" s="13">
        <v>10</v>
      </c>
      <c r="B13" s="12" t="s">
        <v>147</v>
      </c>
      <c r="C13" s="126"/>
      <c r="D13" s="12" t="str">
        <f t="shared" si="1"/>
        <v/>
      </c>
      <c r="E13" s="12">
        <v>35</v>
      </c>
      <c r="F13" s="12" t="s">
        <v>135</v>
      </c>
      <c r="G13" s="125"/>
      <c r="H13" s="12" t="str">
        <f t="shared" si="0"/>
        <v/>
      </c>
    </row>
    <row r="14" spans="1:17" x14ac:dyDescent="0.3">
      <c r="A14" s="13">
        <v>11</v>
      </c>
      <c r="B14" s="12" t="s">
        <v>120</v>
      </c>
      <c r="C14" s="126"/>
      <c r="D14" s="12" t="str">
        <f t="shared" si="1"/>
        <v/>
      </c>
      <c r="E14" s="12">
        <v>36</v>
      </c>
      <c r="F14" s="12" t="s">
        <v>155</v>
      </c>
      <c r="G14" s="125"/>
      <c r="H14" s="12" t="str">
        <f t="shared" si="0"/>
        <v/>
      </c>
    </row>
    <row r="15" spans="1:17" x14ac:dyDescent="0.3">
      <c r="A15" s="13">
        <v>12</v>
      </c>
      <c r="B15" s="12" t="s">
        <v>121</v>
      </c>
      <c r="C15" s="126"/>
      <c r="D15" s="12" t="str">
        <f t="shared" si="1"/>
        <v/>
      </c>
      <c r="E15" s="12">
        <v>37</v>
      </c>
      <c r="F15" s="12" t="s">
        <v>136</v>
      </c>
      <c r="G15" s="125"/>
      <c r="H15" s="12" t="str">
        <f t="shared" si="0"/>
        <v/>
      </c>
    </row>
    <row r="16" spans="1:17" x14ac:dyDescent="0.3">
      <c r="A16" s="13">
        <v>13</v>
      </c>
      <c r="B16" s="12" t="s">
        <v>122</v>
      </c>
      <c r="C16" s="126"/>
      <c r="D16" s="12" t="str">
        <f t="shared" si="1"/>
        <v/>
      </c>
      <c r="E16" s="12">
        <v>38</v>
      </c>
      <c r="F16" s="12" t="s">
        <v>141</v>
      </c>
      <c r="G16" s="125"/>
      <c r="H16" s="12" t="str">
        <f t="shared" si="0"/>
        <v/>
      </c>
    </row>
    <row r="17" spans="1:8" x14ac:dyDescent="0.3">
      <c r="A17" s="13">
        <v>14</v>
      </c>
      <c r="B17" s="12" t="s">
        <v>123</v>
      </c>
      <c r="C17" s="126"/>
      <c r="D17" s="12" t="str">
        <f t="shared" si="1"/>
        <v/>
      </c>
      <c r="E17" s="12">
        <v>39</v>
      </c>
      <c r="F17" s="12" t="s">
        <v>156</v>
      </c>
      <c r="G17" s="125"/>
      <c r="H17" s="12" t="str">
        <f t="shared" si="0"/>
        <v/>
      </c>
    </row>
    <row r="18" spans="1:8" x14ac:dyDescent="0.3">
      <c r="A18" s="13">
        <v>15</v>
      </c>
      <c r="B18" s="12" t="s">
        <v>148</v>
      </c>
      <c r="C18" s="126"/>
      <c r="D18" s="12" t="str">
        <f t="shared" si="1"/>
        <v/>
      </c>
      <c r="E18" s="12">
        <v>40</v>
      </c>
      <c r="F18" s="12" t="s">
        <v>142</v>
      </c>
      <c r="G18" s="125"/>
      <c r="H18" s="12" t="str">
        <f t="shared" si="0"/>
        <v/>
      </c>
    </row>
    <row r="19" spans="1:8" x14ac:dyDescent="0.3">
      <c r="A19" s="13">
        <v>16</v>
      </c>
      <c r="B19" s="12" t="s">
        <v>124</v>
      </c>
      <c r="C19" s="126"/>
      <c r="D19" s="12" t="str">
        <f t="shared" si="1"/>
        <v/>
      </c>
      <c r="E19" s="12">
        <v>41</v>
      </c>
      <c r="F19" s="12" t="s">
        <v>143</v>
      </c>
      <c r="G19" s="125"/>
      <c r="H19" s="12" t="str">
        <f t="shared" si="0"/>
        <v/>
      </c>
    </row>
    <row r="20" spans="1:8" x14ac:dyDescent="0.3">
      <c r="A20" s="13">
        <v>17</v>
      </c>
      <c r="B20" s="12" t="s">
        <v>125</v>
      </c>
      <c r="C20" s="126"/>
      <c r="D20" s="12" t="str">
        <f t="shared" si="1"/>
        <v/>
      </c>
      <c r="E20" s="12">
        <v>42</v>
      </c>
      <c r="F20" s="12" t="s">
        <v>157</v>
      </c>
      <c r="G20" s="125"/>
      <c r="H20" s="12" t="str">
        <f t="shared" si="0"/>
        <v/>
      </c>
    </row>
    <row r="21" spans="1:8" x14ac:dyDescent="0.3">
      <c r="A21" s="13">
        <v>18</v>
      </c>
      <c r="B21" s="12" t="s">
        <v>126</v>
      </c>
      <c r="C21" s="126"/>
      <c r="D21" s="12" t="str">
        <f t="shared" si="1"/>
        <v/>
      </c>
      <c r="E21" s="12">
        <v>43</v>
      </c>
      <c r="F21" s="12" t="s">
        <v>396</v>
      </c>
      <c r="G21" s="125"/>
      <c r="H21" s="12" t="str">
        <f t="shared" si="0"/>
        <v/>
      </c>
    </row>
    <row r="22" spans="1:8" x14ac:dyDescent="0.3">
      <c r="A22" s="13">
        <v>19</v>
      </c>
      <c r="B22" s="12" t="s">
        <v>127</v>
      </c>
      <c r="C22" s="126"/>
      <c r="D22" s="12" t="str">
        <f t="shared" si="1"/>
        <v/>
      </c>
      <c r="E22" s="12">
        <v>44</v>
      </c>
      <c r="F22" s="12" t="s">
        <v>139</v>
      </c>
      <c r="G22" s="125"/>
      <c r="H22" s="12" t="str">
        <f t="shared" si="0"/>
        <v/>
      </c>
    </row>
    <row r="23" spans="1:8" x14ac:dyDescent="0.3">
      <c r="A23" s="13">
        <v>20</v>
      </c>
      <c r="B23" s="12" t="s">
        <v>149</v>
      </c>
      <c r="C23" s="126"/>
      <c r="D23" s="12" t="str">
        <f t="shared" si="1"/>
        <v/>
      </c>
      <c r="E23" s="12">
        <v>45</v>
      </c>
      <c r="F23" s="12" t="s">
        <v>158</v>
      </c>
      <c r="G23" s="125"/>
      <c r="H23" s="12" t="str">
        <f t="shared" si="0"/>
        <v/>
      </c>
    </row>
    <row r="24" spans="1:8" x14ac:dyDescent="0.3">
      <c r="A24" s="13">
        <v>21</v>
      </c>
      <c r="B24" s="12" t="s">
        <v>128</v>
      </c>
      <c r="C24" s="126"/>
      <c r="D24" s="12" t="str">
        <f t="shared" si="1"/>
        <v/>
      </c>
      <c r="E24" s="12">
        <v>46</v>
      </c>
      <c r="F24" s="12" t="s">
        <v>140</v>
      </c>
      <c r="G24" s="125"/>
      <c r="H24" s="12" t="str">
        <f t="shared" si="0"/>
        <v/>
      </c>
    </row>
    <row r="25" spans="1:8" x14ac:dyDescent="0.3">
      <c r="A25" s="13">
        <v>22</v>
      </c>
      <c r="B25" s="12" t="s">
        <v>129</v>
      </c>
      <c r="C25" s="126"/>
      <c r="D25" s="12" t="str">
        <f t="shared" si="1"/>
        <v/>
      </c>
      <c r="E25" s="12">
        <v>47</v>
      </c>
      <c r="F25" s="12" t="s">
        <v>159</v>
      </c>
      <c r="G25" s="125"/>
      <c r="H25" s="12" t="str">
        <f t="shared" si="0"/>
        <v/>
      </c>
    </row>
    <row r="26" spans="1:8" x14ac:dyDescent="0.3">
      <c r="A26" s="13">
        <v>23</v>
      </c>
      <c r="B26" s="12" t="s">
        <v>130</v>
      </c>
      <c r="C26" s="126"/>
      <c r="D26" s="12" t="str">
        <f t="shared" si="1"/>
        <v/>
      </c>
      <c r="E26" s="12">
        <v>48</v>
      </c>
      <c r="F26" s="12" t="s">
        <v>160</v>
      </c>
      <c r="G26" s="125"/>
      <c r="H26" s="12" t="str">
        <f t="shared" si="0"/>
        <v/>
      </c>
    </row>
    <row r="27" spans="1:8" x14ac:dyDescent="0.3">
      <c r="A27" s="13">
        <v>24</v>
      </c>
      <c r="B27" s="12" t="s">
        <v>150</v>
      </c>
      <c r="C27" s="126"/>
      <c r="D27" s="12" t="str">
        <f t="shared" si="1"/>
        <v/>
      </c>
      <c r="E27" s="12">
        <v>49</v>
      </c>
      <c r="F27" s="12" t="s">
        <v>161</v>
      </c>
      <c r="G27" s="125"/>
      <c r="H27" s="12" t="str">
        <f>IF(G27="","",(IF(G27="Y",1,0)))</f>
        <v/>
      </c>
    </row>
    <row r="28" spans="1:8" x14ac:dyDescent="0.3">
      <c r="A28" s="13">
        <v>25</v>
      </c>
      <c r="B28" s="12" t="s">
        <v>131</v>
      </c>
      <c r="C28" s="126"/>
      <c r="D28" s="12" t="str">
        <f t="shared" si="1"/>
        <v/>
      </c>
      <c r="E28" s="12">
        <v>50</v>
      </c>
      <c r="F28" s="12" t="s">
        <v>162</v>
      </c>
      <c r="G28" s="125"/>
      <c r="H28" s="12" t="str">
        <f>IF(G28="","",(IF(G28="Y",1,0)))</f>
        <v/>
      </c>
    </row>
    <row r="29" spans="1:8" ht="42.6" customHeight="1" x14ac:dyDescent="0.3">
      <c r="A29" s="196" t="s">
        <v>168</v>
      </c>
      <c r="B29" s="196"/>
      <c r="C29" s="196"/>
      <c r="D29" s="103">
        <f>SUM(D4:D28,H4:H28)</f>
        <v>0</v>
      </c>
      <c r="E29" s="202" t="str">
        <f>IF(D29=0,"",(IF(D29&gt;31,"Satisfactory","Unsatisfactory")))</f>
        <v/>
      </c>
      <c r="F29" s="202"/>
      <c r="G29" s="202"/>
      <c r="H29" s="202"/>
    </row>
    <row r="30" spans="1:8" x14ac:dyDescent="0.3">
      <c r="F30" s="61"/>
    </row>
    <row r="32" spans="1:8" x14ac:dyDescent="0.3">
      <c r="B32" s="10"/>
      <c r="F32" s="61"/>
    </row>
  </sheetData>
  <mergeCells count="4">
    <mergeCell ref="A1:H1"/>
    <mergeCell ref="A29:C29"/>
    <mergeCell ref="E29:H29"/>
    <mergeCell ref="A2:H2"/>
  </mergeCells>
  <pageMargins left="0.7" right="0.7" top="0.75" bottom="0.75"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09"/>
  <sheetViews>
    <sheetView view="pageBreakPreview" topLeftCell="A40" zoomScale="60" zoomScaleNormal="70" workbookViewId="0">
      <selection activeCell="B98" sqref="B98"/>
    </sheetView>
  </sheetViews>
  <sheetFormatPr defaultColWidth="8.88671875" defaultRowHeight="18" x14ac:dyDescent="0.3"/>
  <cols>
    <col min="1" max="1" width="9" style="18" customWidth="1"/>
    <col min="2" max="2" width="68.88671875" style="16" customWidth="1"/>
    <col min="3" max="3" width="11.6640625" style="47" customWidth="1"/>
    <col min="4" max="4" width="17.5546875" style="47" bestFit="1" customWidth="1"/>
    <col min="5" max="5" width="74.44140625" style="48" customWidth="1"/>
    <col min="6" max="16384" width="8.88671875" style="16"/>
  </cols>
  <sheetData>
    <row r="1" spans="1:5" ht="21" customHeight="1" x14ac:dyDescent="0.3">
      <c r="A1" s="210" t="s">
        <v>175</v>
      </c>
      <c r="B1" s="211"/>
      <c r="C1" s="211"/>
      <c r="D1" s="212"/>
      <c r="E1" s="180" t="s">
        <v>174</v>
      </c>
    </row>
    <row r="2" spans="1:5" ht="21" customHeight="1" x14ac:dyDescent="0.3">
      <c r="A2" s="213"/>
      <c r="B2" s="214"/>
      <c r="C2" s="214"/>
      <c r="D2" s="215"/>
      <c r="E2" s="180"/>
    </row>
    <row r="3" spans="1:5" ht="21" customHeight="1" x14ac:dyDescent="0.3">
      <c r="A3" s="216"/>
      <c r="B3" s="217"/>
      <c r="C3" s="217"/>
      <c r="D3" s="218"/>
      <c r="E3" s="180"/>
    </row>
    <row r="4" spans="1:5" ht="36" x14ac:dyDescent="0.3">
      <c r="A4" s="77" t="s">
        <v>0</v>
      </c>
      <c r="B4" s="77" t="s">
        <v>29</v>
      </c>
      <c r="C4" s="104" t="s">
        <v>314</v>
      </c>
      <c r="D4" s="104" t="s">
        <v>315</v>
      </c>
      <c r="E4" s="77" t="s">
        <v>28</v>
      </c>
    </row>
    <row r="5" spans="1:5" x14ac:dyDescent="0.3">
      <c r="A5" s="206" t="s">
        <v>310</v>
      </c>
      <c r="B5" s="207"/>
      <c r="C5" s="105"/>
      <c r="D5" s="106"/>
      <c r="E5" s="107"/>
    </row>
    <row r="6" spans="1:5" x14ac:dyDescent="0.3">
      <c r="A6" s="27">
        <v>1</v>
      </c>
      <c r="B6" s="39" t="s">
        <v>1</v>
      </c>
      <c r="C6" s="40"/>
      <c r="D6" s="96"/>
      <c r="E6" s="41"/>
    </row>
    <row r="7" spans="1:5" x14ac:dyDescent="0.3">
      <c r="A7" s="27">
        <v>1.1000000000000001</v>
      </c>
      <c r="B7" s="36" t="s">
        <v>229</v>
      </c>
      <c r="C7" s="26">
        <v>5</v>
      </c>
      <c r="D7" s="33">
        <f>VLOOKUP(A7,'Complementary (A &amp; B)'!$A$6:$C$100,3,)</f>
        <v>0</v>
      </c>
      <c r="E7" s="41" t="str">
        <f>VLOOKUP(A7,'Complementary (A &amp; B)'!$A$6:$D$100,4,)</f>
        <v/>
      </c>
    </row>
    <row r="8" spans="1:5" x14ac:dyDescent="0.3">
      <c r="A8" s="27">
        <v>1.2</v>
      </c>
      <c r="B8" s="36" t="s">
        <v>230</v>
      </c>
      <c r="C8" s="26">
        <v>10</v>
      </c>
      <c r="D8" s="33">
        <f>VLOOKUP(A8,'Complementary (A &amp; B)'!$A$6:$C$100,3,)</f>
        <v>0</v>
      </c>
      <c r="E8" s="41" t="str">
        <f>VLOOKUP(A8,'Complementary (A &amp; B)'!$A$6:$D$100,4,)</f>
        <v/>
      </c>
    </row>
    <row r="9" spans="1:5" x14ac:dyDescent="0.3">
      <c r="A9" s="27">
        <v>1.3</v>
      </c>
      <c r="B9" s="36" t="s">
        <v>299</v>
      </c>
      <c r="C9" s="26">
        <v>10</v>
      </c>
      <c r="D9" s="33">
        <f>VLOOKUP(A9,'Complementary (A &amp; B)'!$A$6:$C$100,3,)</f>
        <v>0</v>
      </c>
      <c r="E9" s="41" t="str">
        <f>VLOOKUP(A9,'Complementary (A &amp; B)'!$A$6:$D$100,4,)</f>
        <v/>
      </c>
    </row>
    <row r="10" spans="1:5" x14ac:dyDescent="0.3">
      <c r="A10" s="27">
        <v>2</v>
      </c>
      <c r="B10" s="36" t="s">
        <v>316</v>
      </c>
      <c r="C10" s="26"/>
      <c r="D10" s="33"/>
      <c r="E10" s="41"/>
    </row>
    <row r="11" spans="1:5" x14ac:dyDescent="0.3">
      <c r="A11" s="27">
        <v>2.1</v>
      </c>
      <c r="B11" s="36" t="s">
        <v>367</v>
      </c>
      <c r="C11" s="26">
        <v>25</v>
      </c>
      <c r="D11" s="33">
        <f>VLOOKUP(A11,'Complementary (A &amp; B)'!$A$6:$C$100,3,)</f>
        <v>0</v>
      </c>
      <c r="E11" s="41" t="str">
        <f>VLOOKUP(A11,'Complementary (A &amp; B)'!$A$6:$D$100,4,)</f>
        <v/>
      </c>
    </row>
    <row r="12" spans="1:5" x14ac:dyDescent="0.3">
      <c r="A12" s="27">
        <v>3</v>
      </c>
      <c r="B12" s="36" t="s">
        <v>2</v>
      </c>
      <c r="C12" s="26"/>
      <c r="D12" s="33"/>
      <c r="E12" s="41"/>
    </row>
    <row r="13" spans="1:5" x14ac:dyDescent="0.3">
      <c r="A13" s="27">
        <v>3.1</v>
      </c>
      <c r="B13" s="36" t="s">
        <v>300</v>
      </c>
      <c r="C13" s="26"/>
      <c r="D13" s="33"/>
      <c r="E13" s="41"/>
    </row>
    <row r="14" spans="1:5" x14ac:dyDescent="0.3">
      <c r="A14" s="27" t="s">
        <v>3</v>
      </c>
      <c r="B14" s="36" t="s">
        <v>231</v>
      </c>
      <c r="C14" s="26">
        <v>45</v>
      </c>
      <c r="D14" s="33">
        <f>VLOOKUP(A14,'Complementary (A &amp; B)'!$A$6:$C$100,3,)</f>
        <v>0</v>
      </c>
      <c r="E14" s="41" t="str">
        <f>VLOOKUP(A14,'Complementary (A &amp; B)'!$A$6:$D$100,4,)</f>
        <v/>
      </c>
    </row>
    <row r="15" spans="1:5" x14ac:dyDescent="0.3">
      <c r="A15" s="27" t="s">
        <v>4</v>
      </c>
      <c r="B15" s="36" t="s">
        <v>232</v>
      </c>
      <c r="C15" s="26">
        <v>15</v>
      </c>
      <c r="D15" s="33">
        <f>VLOOKUP(A15,'Complementary (A &amp; B)'!$A$6:$C$100,3,)</f>
        <v>0</v>
      </c>
      <c r="E15" s="41" t="str">
        <f>VLOOKUP(A15,'Complementary (A &amp; B)'!$A$6:$D$100,4,)</f>
        <v/>
      </c>
    </row>
    <row r="16" spans="1:5" x14ac:dyDescent="0.3">
      <c r="A16" s="27" t="s">
        <v>5</v>
      </c>
      <c r="B16" s="36" t="s">
        <v>233</v>
      </c>
      <c r="C16" s="26">
        <v>15</v>
      </c>
      <c r="D16" s="33">
        <f>VLOOKUP(A16,'Complementary (A &amp; B)'!$A$6:$C$100,3,)</f>
        <v>0</v>
      </c>
      <c r="E16" s="41" t="str">
        <f>VLOOKUP(A16,'Complementary (A &amp; B)'!$A$6:$D$100,4,)</f>
        <v/>
      </c>
    </row>
    <row r="17" spans="1:5" x14ac:dyDescent="0.3">
      <c r="A17" s="27" t="s">
        <v>6</v>
      </c>
      <c r="B17" s="36" t="s">
        <v>301</v>
      </c>
      <c r="C17" s="26">
        <v>40</v>
      </c>
      <c r="D17" s="33">
        <f>VLOOKUP(A17,'Complementary (A &amp; B)'!$A$6:$C$100,3,)</f>
        <v>0</v>
      </c>
      <c r="E17" s="41" t="str">
        <f>VLOOKUP(A17,'Complementary (A &amp; B)'!$A$6:$D$100,4,)</f>
        <v/>
      </c>
    </row>
    <row r="18" spans="1:5" x14ac:dyDescent="0.3">
      <c r="A18" s="27" t="s">
        <v>7</v>
      </c>
      <c r="B18" s="36" t="s">
        <v>234</v>
      </c>
      <c r="C18" s="26">
        <v>20</v>
      </c>
      <c r="D18" s="33">
        <f>VLOOKUP(A18,'Complementary (A &amp; B)'!$A$6:$C$100,3,)</f>
        <v>0</v>
      </c>
      <c r="E18" s="41" t="str">
        <f>VLOOKUP(A18,'Complementary (A &amp; B)'!$A$6:$D$100,4,)</f>
        <v/>
      </c>
    </row>
    <row r="19" spans="1:5" x14ac:dyDescent="0.3">
      <c r="A19" s="27" t="s">
        <v>8</v>
      </c>
      <c r="B19" s="36" t="s">
        <v>235</v>
      </c>
      <c r="C19" s="26">
        <v>30</v>
      </c>
      <c r="D19" s="33">
        <f>VLOOKUP(A19,'Complementary (A &amp; B)'!$A$6:$C$100,3,)</f>
        <v>0</v>
      </c>
      <c r="E19" s="41" t="str">
        <f>VLOOKUP(A19,'Complementary (A &amp; B)'!$A$6:$D$100,4,)</f>
        <v/>
      </c>
    </row>
    <row r="20" spans="1:5" x14ac:dyDescent="0.3">
      <c r="A20" s="27" t="s">
        <v>9</v>
      </c>
      <c r="B20" s="36" t="s">
        <v>236</v>
      </c>
      <c r="C20" s="26">
        <v>20</v>
      </c>
      <c r="D20" s="33">
        <f>VLOOKUP(A20,'Complementary (A &amp; B)'!$A$6:$C$100,3,)</f>
        <v>0</v>
      </c>
      <c r="E20" s="41" t="str">
        <f>VLOOKUP(A20,'Complementary (A &amp; B)'!$A$6:$D$100,4,)</f>
        <v/>
      </c>
    </row>
    <row r="21" spans="1:5" x14ac:dyDescent="0.3">
      <c r="A21" s="27" t="s">
        <v>10</v>
      </c>
      <c r="B21" s="36" t="s">
        <v>237</v>
      </c>
      <c r="C21" s="26">
        <v>10</v>
      </c>
      <c r="D21" s="33">
        <f>VLOOKUP(A21,'Complementary (A &amp; B)'!$A$6:$C$100,3,)</f>
        <v>0</v>
      </c>
      <c r="E21" s="41" t="str">
        <f>VLOOKUP(A21,'Complementary (A &amp; B)'!$A$6:$D$100,4,)</f>
        <v/>
      </c>
    </row>
    <row r="22" spans="1:5" x14ac:dyDescent="0.3">
      <c r="A22" s="27" t="s">
        <v>11</v>
      </c>
      <c r="B22" s="36" t="s">
        <v>238</v>
      </c>
      <c r="C22" s="26">
        <v>20</v>
      </c>
      <c r="D22" s="33">
        <f>VLOOKUP(A22,'Complementary (A &amp; B)'!$A$6:$C$100,3,)</f>
        <v>0</v>
      </c>
      <c r="E22" s="41" t="str">
        <f>VLOOKUP(A22,'Complementary (A &amp; B)'!$A$6:$D$100,4,)</f>
        <v/>
      </c>
    </row>
    <row r="23" spans="1:5" x14ac:dyDescent="0.3">
      <c r="A23" s="27" t="s">
        <v>12</v>
      </c>
      <c r="B23" s="36" t="s">
        <v>239</v>
      </c>
      <c r="C23" s="26">
        <v>20</v>
      </c>
      <c r="D23" s="33">
        <f>VLOOKUP(A23,'Complementary (A &amp; B)'!$A$6:$C$100,3,)</f>
        <v>0</v>
      </c>
      <c r="E23" s="41" t="str">
        <f>VLOOKUP(A23,'Complementary (A &amp; B)'!$A$6:$D$100,4,)</f>
        <v/>
      </c>
    </row>
    <row r="24" spans="1:5" x14ac:dyDescent="0.3">
      <c r="A24" s="27" t="s">
        <v>13</v>
      </c>
      <c r="B24" s="36" t="s">
        <v>302</v>
      </c>
      <c r="C24" s="26">
        <v>15</v>
      </c>
      <c r="D24" s="33">
        <f>VLOOKUP(A24,'Complementary (A &amp; B)'!$A$6:$C$100,3,)</f>
        <v>0</v>
      </c>
      <c r="E24" s="41" t="str">
        <f>VLOOKUP(A24,'Complementary (A &amp; B)'!$A$6:$D$100,4,)</f>
        <v/>
      </c>
    </row>
    <row r="25" spans="1:5" x14ac:dyDescent="0.3">
      <c r="A25" s="27">
        <v>4</v>
      </c>
      <c r="B25" s="36" t="s">
        <v>240</v>
      </c>
      <c r="C25" s="26"/>
      <c r="D25" s="33"/>
      <c r="E25" s="41"/>
    </row>
    <row r="26" spans="1:5" x14ac:dyDescent="0.3">
      <c r="A26" s="27">
        <v>4.0999999999999996</v>
      </c>
      <c r="B26" s="36" t="s">
        <v>241</v>
      </c>
      <c r="C26" s="26">
        <v>10</v>
      </c>
      <c r="D26" s="33">
        <f>VLOOKUP(A26,'Complementary (A &amp; B)'!$A$6:$C$100,3,)</f>
        <v>0</v>
      </c>
      <c r="E26" s="41" t="str">
        <f>VLOOKUP(A26,'Complementary (A &amp; B)'!$A$6:$D$100,4,)</f>
        <v/>
      </c>
    </row>
    <row r="27" spans="1:5" x14ac:dyDescent="0.3">
      <c r="A27" s="27">
        <v>4.2</v>
      </c>
      <c r="B27" s="36" t="s">
        <v>369</v>
      </c>
      <c r="C27" s="26"/>
      <c r="D27" s="33"/>
      <c r="E27" s="41"/>
    </row>
    <row r="28" spans="1:5" x14ac:dyDescent="0.3">
      <c r="A28" s="27" t="s">
        <v>15</v>
      </c>
      <c r="B28" s="36" t="s">
        <v>242</v>
      </c>
      <c r="C28" s="26">
        <v>20</v>
      </c>
      <c r="D28" s="33">
        <f>VLOOKUP(A28,'Complementary (A &amp; B)'!$A$6:$C$100,3,)</f>
        <v>0</v>
      </c>
      <c r="E28" s="41" t="str">
        <f>VLOOKUP(A28,'Complementary (A &amp; B)'!$A$6:$D$100,4,)</f>
        <v/>
      </c>
    </row>
    <row r="29" spans="1:5" ht="36" x14ac:dyDescent="0.3">
      <c r="A29" s="27">
        <v>4.3</v>
      </c>
      <c r="B29" s="36" t="s">
        <v>371</v>
      </c>
      <c r="C29" s="26"/>
      <c r="D29" s="33"/>
      <c r="E29" s="41"/>
    </row>
    <row r="30" spans="1:5" x14ac:dyDescent="0.3">
      <c r="A30" s="27" t="s">
        <v>16</v>
      </c>
      <c r="B30" s="36" t="s">
        <v>303</v>
      </c>
      <c r="C30" s="26">
        <v>15</v>
      </c>
      <c r="D30" s="33">
        <f>VLOOKUP(A30,'Complementary (A &amp; B)'!$A$6:$C$100,3,)</f>
        <v>0</v>
      </c>
      <c r="E30" s="41" t="str">
        <f>VLOOKUP(A30,'Complementary (A &amp; B)'!$A$6:$D$100,4,)</f>
        <v/>
      </c>
    </row>
    <row r="31" spans="1:5" x14ac:dyDescent="0.3">
      <c r="A31" s="27" t="s">
        <v>17</v>
      </c>
      <c r="B31" s="36" t="s">
        <v>243</v>
      </c>
      <c r="C31" s="26">
        <v>25</v>
      </c>
      <c r="D31" s="33">
        <f>VLOOKUP(A31,'Complementary (A &amp; B)'!$A$6:$C$100,3,)</f>
        <v>0</v>
      </c>
      <c r="E31" s="41" t="str">
        <f>VLOOKUP(A31,'Complementary (A &amp; B)'!$A$6:$D$100,4,)</f>
        <v/>
      </c>
    </row>
    <row r="32" spans="1:5" x14ac:dyDescent="0.3">
      <c r="A32" s="27">
        <v>4.4000000000000004</v>
      </c>
      <c r="B32" s="36" t="s">
        <v>244</v>
      </c>
      <c r="C32" s="26">
        <v>10</v>
      </c>
      <c r="D32" s="33">
        <f>VLOOKUP(A32,'Complementary (A &amp; B)'!$A$6:$C$100,3,)</f>
        <v>0</v>
      </c>
      <c r="E32" s="41" t="str">
        <f>VLOOKUP(A32,'Complementary (A &amp; B)'!$A$6:$D$100,4,)</f>
        <v/>
      </c>
    </row>
    <row r="33" spans="1:5" x14ac:dyDescent="0.3">
      <c r="A33" s="27">
        <v>4.5</v>
      </c>
      <c r="B33" s="36" t="s">
        <v>245</v>
      </c>
      <c r="C33" s="26">
        <v>10</v>
      </c>
      <c r="D33" s="33">
        <f>VLOOKUP(A33,'Complementary (A &amp; B)'!$A$6:$C$100,3,)</f>
        <v>0</v>
      </c>
      <c r="E33" s="41" t="str">
        <f>VLOOKUP(A33,'Complementary (A &amp; B)'!$A$6:$D$100,4,)</f>
        <v/>
      </c>
    </row>
    <row r="34" spans="1:5" x14ac:dyDescent="0.3">
      <c r="A34" s="27">
        <v>4.5999999999999996</v>
      </c>
      <c r="B34" s="36" t="s">
        <v>246</v>
      </c>
      <c r="C34" s="26">
        <v>10</v>
      </c>
      <c r="D34" s="33">
        <f>VLOOKUP(A34,'Complementary (A &amp; B)'!$A$6:$C$100,3,)</f>
        <v>0</v>
      </c>
      <c r="E34" s="41" t="str">
        <f>VLOOKUP(A34,'Complementary (A &amp; B)'!$A$6:$D$100,4,)</f>
        <v/>
      </c>
    </row>
    <row r="35" spans="1:5" ht="36" x14ac:dyDescent="0.3">
      <c r="A35" s="27">
        <v>5</v>
      </c>
      <c r="B35" s="36" t="s">
        <v>307</v>
      </c>
      <c r="C35" s="26"/>
      <c r="D35" s="33"/>
      <c r="E35" s="41"/>
    </row>
    <row r="36" spans="1:5" ht="54" x14ac:dyDescent="0.3">
      <c r="A36" s="27">
        <v>5.0999999999999996</v>
      </c>
      <c r="B36" s="36" t="s">
        <v>247</v>
      </c>
      <c r="C36" s="26">
        <v>40</v>
      </c>
      <c r="D36" s="33">
        <f>VLOOKUP(A36,'Complementary (A &amp; B)'!$A$6:$C$100,3,)</f>
        <v>0</v>
      </c>
      <c r="E36" s="41" t="str">
        <f>VLOOKUP(A36,'Complementary (A &amp; B)'!$A$6:$D$100,4,)</f>
        <v/>
      </c>
    </row>
    <row r="37" spans="1:5" x14ac:dyDescent="0.3">
      <c r="A37" s="27">
        <v>5.2</v>
      </c>
      <c r="B37" s="36" t="s">
        <v>248</v>
      </c>
      <c r="C37" s="26">
        <v>20</v>
      </c>
      <c r="D37" s="33">
        <f>VLOOKUP(A37,'Complementary (A &amp; B)'!$A$6:$C$100,3,)</f>
        <v>0</v>
      </c>
      <c r="E37" s="41" t="str">
        <f>VLOOKUP(A37,'Complementary (A &amp; B)'!$A$6:$D$100,4,)</f>
        <v/>
      </c>
    </row>
    <row r="38" spans="1:5" x14ac:dyDescent="0.3">
      <c r="A38" s="27">
        <v>5.3</v>
      </c>
      <c r="B38" s="36" t="s">
        <v>249</v>
      </c>
      <c r="C38" s="26">
        <v>10</v>
      </c>
      <c r="D38" s="33">
        <f>VLOOKUP(A38,'Complementary (A &amp; B)'!$A$6:$C$100,3,)</f>
        <v>0</v>
      </c>
      <c r="E38" s="41" t="str">
        <f>VLOOKUP(A38,'Complementary (A &amp; B)'!$A$6:$D$100,4,)</f>
        <v/>
      </c>
    </row>
    <row r="39" spans="1:5" ht="54" x14ac:dyDescent="0.3">
      <c r="A39" s="27">
        <v>5.4</v>
      </c>
      <c r="B39" s="36" t="s">
        <v>250</v>
      </c>
      <c r="C39" s="26">
        <v>10</v>
      </c>
      <c r="D39" s="33">
        <f>VLOOKUP(A39,'Complementary (A &amp; B)'!$A$6:$C$100,3,)</f>
        <v>0</v>
      </c>
      <c r="E39" s="41" t="str">
        <f>VLOOKUP(A39,'Complementary (A &amp; B)'!$A$6:$D$100,4,)</f>
        <v/>
      </c>
    </row>
    <row r="40" spans="1:5" ht="54" x14ac:dyDescent="0.3">
      <c r="A40" s="27">
        <v>5.5</v>
      </c>
      <c r="B40" s="36" t="s">
        <v>251</v>
      </c>
      <c r="C40" s="26">
        <v>5</v>
      </c>
      <c r="D40" s="33">
        <f>VLOOKUP(A40,'Complementary (A &amp; B)'!$A$6:$C$100,3,)</f>
        <v>0</v>
      </c>
      <c r="E40" s="41" t="str">
        <f>VLOOKUP(A40,'Complementary (A &amp; B)'!$A$6:$D$100,4,)</f>
        <v/>
      </c>
    </row>
    <row r="41" spans="1:5" ht="36" x14ac:dyDescent="0.3">
      <c r="A41" s="27">
        <v>5.6</v>
      </c>
      <c r="B41" s="36" t="s">
        <v>252</v>
      </c>
      <c r="C41" s="26">
        <v>10</v>
      </c>
      <c r="D41" s="33">
        <f>VLOOKUP(A41,'Complementary (A &amp; B)'!$A$6:$C$100,3,)</f>
        <v>0</v>
      </c>
      <c r="E41" s="41" t="str">
        <f>VLOOKUP(A41,'Complementary (A &amp; B)'!$A$6:$D$100,4,)</f>
        <v/>
      </c>
    </row>
    <row r="42" spans="1:5" x14ac:dyDescent="0.3">
      <c r="A42" s="27">
        <v>6</v>
      </c>
      <c r="B42" s="36" t="s">
        <v>253</v>
      </c>
      <c r="C42" s="26"/>
      <c r="D42" s="33"/>
      <c r="E42" s="41"/>
    </row>
    <row r="43" spans="1:5" x14ac:dyDescent="0.3">
      <c r="A43" s="27">
        <v>6.1</v>
      </c>
      <c r="B43" s="36" t="s">
        <v>254</v>
      </c>
      <c r="C43" s="26">
        <v>30</v>
      </c>
      <c r="D43" s="33">
        <f>VLOOKUP(A43,'Complementary (A &amp; B)'!$A$6:$C$100,3,)</f>
        <v>0</v>
      </c>
      <c r="E43" s="41" t="str">
        <f>VLOOKUP(A43,'Complementary (A &amp; B)'!$A$6:$D$100,4,)</f>
        <v/>
      </c>
    </row>
    <row r="44" spans="1:5" x14ac:dyDescent="0.3">
      <c r="A44" s="27">
        <v>6.2</v>
      </c>
      <c r="B44" s="36" t="s">
        <v>255</v>
      </c>
      <c r="C44" s="26">
        <v>30</v>
      </c>
      <c r="D44" s="33">
        <f>VLOOKUP(A44,'Complementary (A &amp; B)'!$A$6:$C$100,3,)</f>
        <v>0</v>
      </c>
      <c r="E44" s="41" t="str">
        <f>VLOOKUP(A44,'Complementary (A &amp; B)'!$A$6:$D$100,4,)</f>
        <v/>
      </c>
    </row>
    <row r="45" spans="1:5" x14ac:dyDescent="0.3">
      <c r="A45" s="27">
        <v>6.3</v>
      </c>
      <c r="B45" s="36" t="s">
        <v>304</v>
      </c>
      <c r="C45" s="26">
        <v>15</v>
      </c>
      <c r="D45" s="33">
        <f>VLOOKUP(A45,'Complementary (A &amp; B)'!$A$6:$C$100,3,)</f>
        <v>0</v>
      </c>
      <c r="E45" s="41" t="str">
        <f>VLOOKUP(A45,'Complementary (A &amp; B)'!$A$6:$D$100,4,)</f>
        <v/>
      </c>
    </row>
    <row r="46" spans="1:5" x14ac:dyDescent="0.3">
      <c r="A46" s="27">
        <v>6.4</v>
      </c>
      <c r="B46" s="36" t="s">
        <v>256</v>
      </c>
      <c r="C46" s="26">
        <v>15</v>
      </c>
      <c r="D46" s="33">
        <f>VLOOKUP(A46,'Complementary (A &amp; B)'!$A$6:$C$100,3,)</f>
        <v>0</v>
      </c>
      <c r="E46" s="41" t="str">
        <f>VLOOKUP(A46,'Complementary (A &amp; B)'!$A$6:$D$100,4,)</f>
        <v/>
      </c>
    </row>
    <row r="47" spans="1:5" x14ac:dyDescent="0.3">
      <c r="A47" s="27">
        <v>6.5</v>
      </c>
      <c r="B47" s="36" t="s">
        <v>257</v>
      </c>
      <c r="C47" s="26">
        <v>10</v>
      </c>
      <c r="D47" s="33">
        <f>VLOOKUP(A47,'Complementary (A &amp; B)'!$A$6:$C$100,3,)</f>
        <v>0</v>
      </c>
      <c r="E47" s="41" t="str">
        <f>VLOOKUP(A47,'Complementary (A &amp; B)'!$A$6:$D$100,4,)</f>
        <v/>
      </c>
    </row>
    <row r="48" spans="1:5" x14ac:dyDescent="0.3">
      <c r="A48" s="27">
        <v>7</v>
      </c>
      <c r="B48" s="36" t="s">
        <v>308</v>
      </c>
      <c r="C48" s="26"/>
      <c r="D48" s="33"/>
      <c r="E48" s="41"/>
    </row>
    <row r="49" spans="1:5" x14ac:dyDescent="0.3">
      <c r="A49" s="27">
        <v>7.1</v>
      </c>
      <c r="B49" s="36" t="s">
        <v>372</v>
      </c>
      <c r="C49" s="26"/>
      <c r="D49" s="33"/>
      <c r="E49" s="41"/>
    </row>
    <row r="50" spans="1:5" x14ac:dyDescent="0.3">
      <c r="A50" s="27" t="s">
        <v>18</v>
      </c>
      <c r="B50" s="36" t="s">
        <v>258</v>
      </c>
      <c r="C50" s="26">
        <v>20</v>
      </c>
      <c r="D50" s="33">
        <f>VLOOKUP(A50,'Complementary (A &amp; B)'!$A$6:$C$100,3,)</f>
        <v>0</v>
      </c>
      <c r="E50" s="41" t="str">
        <f>VLOOKUP(A50,'Complementary (A &amp; B)'!$A$6:$D$100,4,)</f>
        <v/>
      </c>
    </row>
    <row r="51" spans="1:5" x14ac:dyDescent="0.3">
      <c r="A51" s="27" t="s">
        <v>19</v>
      </c>
      <c r="B51" s="36" t="s">
        <v>259</v>
      </c>
      <c r="C51" s="26">
        <v>20</v>
      </c>
      <c r="D51" s="33">
        <f>VLOOKUP(A51,'Complementary (A &amp; B)'!$A$6:$C$100,3,)</f>
        <v>0</v>
      </c>
      <c r="E51" s="41" t="str">
        <f>VLOOKUP(A51,'Complementary (A &amp; B)'!$A$6:$D$100,4,)</f>
        <v/>
      </c>
    </row>
    <row r="52" spans="1:5" x14ac:dyDescent="0.3">
      <c r="A52" s="27">
        <v>7.2</v>
      </c>
      <c r="B52" s="36" t="s">
        <v>374</v>
      </c>
      <c r="C52" s="26"/>
      <c r="D52" s="33"/>
      <c r="E52" s="41"/>
    </row>
    <row r="53" spans="1:5" x14ac:dyDescent="0.3">
      <c r="A53" s="27" t="s">
        <v>20</v>
      </c>
      <c r="B53" s="36" t="s">
        <v>260</v>
      </c>
      <c r="C53" s="26">
        <v>15</v>
      </c>
      <c r="D53" s="33">
        <f>VLOOKUP(A53,'Complementary (A &amp; B)'!$A$6:$C$100,3,)</f>
        <v>0</v>
      </c>
      <c r="E53" s="41" t="str">
        <f>VLOOKUP(A53,'Complementary (A &amp; B)'!$A$6:$D$100,4,)</f>
        <v/>
      </c>
    </row>
    <row r="54" spans="1:5" x14ac:dyDescent="0.3">
      <c r="A54" s="27" t="s">
        <v>21</v>
      </c>
      <c r="B54" s="36" t="s">
        <v>259</v>
      </c>
      <c r="C54" s="26">
        <v>20</v>
      </c>
      <c r="D54" s="33">
        <f>VLOOKUP(A54,'Complementary (A &amp; B)'!$A$6:$C$100,3,)</f>
        <v>0</v>
      </c>
      <c r="E54" s="41" t="str">
        <f>VLOOKUP(A54,'Complementary (A &amp; B)'!$A$6:$D$100,4,)</f>
        <v/>
      </c>
    </row>
    <row r="55" spans="1:5" x14ac:dyDescent="0.3">
      <c r="A55" s="27">
        <v>7.3</v>
      </c>
      <c r="B55" s="36" t="s">
        <v>261</v>
      </c>
      <c r="C55" s="26">
        <v>20</v>
      </c>
      <c r="D55" s="33">
        <f>VLOOKUP(A55,'Complementary (A &amp; B)'!$A$6:$C$100,3,)</f>
        <v>0</v>
      </c>
      <c r="E55" s="41" t="str">
        <f>VLOOKUP(A55,'Complementary (A &amp; B)'!$A$6:$D$100,4,)</f>
        <v/>
      </c>
    </row>
    <row r="56" spans="1:5" x14ac:dyDescent="0.3">
      <c r="A56" s="27">
        <v>7.4</v>
      </c>
      <c r="B56" s="36" t="s">
        <v>262</v>
      </c>
      <c r="C56" s="26">
        <v>10</v>
      </c>
      <c r="D56" s="33">
        <f>VLOOKUP(A56,'Complementary (A &amp; B)'!$A$6:$C$100,3,)</f>
        <v>0</v>
      </c>
      <c r="E56" s="41" t="str">
        <f>VLOOKUP(A56,'Complementary (A &amp; B)'!$A$6:$D$100,4,)</f>
        <v/>
      </c>
    </row>
    <row r="57" spans="1:5" x14ac:dyDescent="0.3">
      <c r="A57" s="27">
        <v>8</v>
      </c>
      <c r="B57" s="36" t="s">
        <v>22</v>
      </c>
      <c r="C57" s="26"/>
      <c r="D57" s="33"/>
      <c r="E57" s="41"/>
    </row>
    <row r="58" spans="1:5" x14ac:dyDescent="0.3">
      <c r="A58" s="27">
        <v>8.1</v>
      </c>
      <c r="B58" s="36" t="s">
        <v>263</v>
      </c>
      <c r="C58" s="26">
        <v>20</v>
      </c>
      <c r="D58" s="33">
        <f>VLOOKUP(A58,'Complementary (A &amp; B)'!$A$6:$C$100,3,)</f>
        <v>0</v>
      </c>
      <c r="E58" s="41" t="str">
        <f>VLOOKUP(A58,'Complementary (A &amp; B)'!$A$6:$D$100,4,)</f>
        <v/>
      </c>
    </row>
    <row r="59" spans="1:5" x14ac:dyDescent="0.3">
      <c r="A59" s="27">
        <v>8.1999999999999993</v>
      </c>
      <c r="B59" s="36" t="s">
        <v>264</v>
      </c>
      <c r="C59" s="26">
        <v>25</v>
      </c>
      <c r="D59" s="33">
        <f>VLOOKUP(A59,'Complementary (A &amp; B)'!$A$6:$C$100,3,)</f>
        <v>0</v>
      </c>
      <c r="E59" s="41" t="str">
        <f>VLOOKUP(A59,'Complementary (A &amp; B)'!$A$6:$D$100,4,)</f>
        <v/>
      </c>
    </row>
    <row r="60" spans="1:5" x14ac:dyDescent="0.3">
      <c r="A60" s="27">
        <v>8.3000000000000007</v>
      </c>
      <c r="B60" s="36" t="s">
        <v>265</v>
      </c>
      <c r="C60" s="26">
        <v>15</v>
      </c>
      <c r="D60" s="33">
        <f>VLOOKUP(A60,'Complementary (A &amp; B)'!$A$6:$C$100,3,)</f>
        <v>0</v>
      </c>
      <c r="E60" s="41" t="str">
        <f>VLOOKUP(A60,'Complementary (A &amp; B)'!$A$6:$D$100,4,)</f>
        <v/>
      </c>
    </row>
    <row r="61" spans="1:5" x14ac:dyDescent="0.3">
      <c r="A61" s="208" t="s">
        <v>311</v>
      </c>
      <c r="B61" s="209"/>
      <c r="C61" s="108"/>
      <c r="D61" s="106"/>
      <c r="E61" s="109"/>
    </row>
    <row r="62" spans="1:5" x14ac:dyDescent="0.3">
      <c r="A62" s="27">
        <v>9</v>
      </c>
      <c r="B62" s="36" t="s">
        <v>306</v>
      </c>
      <c r="C62" s="26"/>
      <c r="D62" s="33"/>
      <c r="E62" s="41"/>
    </row>
    <row r="63" spans="1:5" x14ac:dyDescent="0.3">
      <c r="A63" s="27">
        <v>9.1</v>
      </c>
      <c r="B63" s="36" t="s">
        <v>365</v>
      </c>
      <c r="C63" s="26">
        <v>15</v>
      </c>
      <c r="D63" s="33">
        <f>VLOOKUP(A63,'Complementary (A &amp; B)'!$A$6:$C$100,3,)</f>
        <v>0</v>
      </c>
      <c r="E63" s="41" t="str">
        <f>VLOOKUP(A63,'Complementary (A &amp; B)'!$A$6:$D$100,4,)</f>
        <v/>
      </c>
    </row>
    <row r="64" spans="1:5" x14ac:dyDescent="0.3">
      <c r="A64" s="27">
        <v>9.1999999999999993</v>
      </c>
      <c r="B64" s="36" t="s">
        <v>266</v>
      </c>
      <c r="C64" s="26">
        <v>15</v>
      </c>
      <c r="D64" s="33">
        <f>VLOOKUP(A64,'Complementary (A &amp; B)'!$A$6:$C$100,3,)</f>
        <v>0</v>
      </c>
      <c r="E64" s="41" t="str">
        <f>VLOOKUP(A64,'Complementary (A &amp; B)'!$A$6:$D$100,4,)</f>
        <v/>
      </c>
    </row>
    <row r="65" spans="1:5" x14ac:dyDescent="0.3">
      <c r="A65" s="27">
        <v>9.3000000000000007</v>
      </c>
      <c r="B65" s="36" t="s">
        <v>267</v>
      </c>
      <c r="C65" s="26">
        <v>10</v>
      </c>
      <c r="D65" s="33">
        <f>VLOOKUP(A65,'Complementary (A &amp; B)'!$A$6:$C$100,3,)</f>
        <v>0</v>
      </c>
      <c r="E65" s="41" t="str">
        <f>VLOOKUP(A65,'Complementary (A &amp; B)'!$A$6:$D$100,4,)</f>
        <v/>
      </c>
    </row>
    <row r="66" spans="1:5" x14ac:dyDescent="0.3">
      <c r="A66" s="27">
        <v>10</v>
      </c>
      <c r="B66" s="36" t="s">
        <v>318</v>
      </c>
      <c r="C66" s="26">
        <v>10</v>
      </c>
      <c r="D66" s="33">
        <f>VLOOKUP(A66,'Complementary (A &amp; B)'!$A$6:$C$100,3,)</f>
        <v>0</v>
      </c>
      <c r="E66" s="41" t="str">
        <f>VLOOKUP(A66,'Complementary (A &amp; B)'!$A$6:$D$100,4,)</f>
        <v/>
      </c>
    </row>
    <row r="67" spans="1:5" x14ac:dyDescent="0.3">
      <c r="A67" s="27">
        <v>11</v>
      </c>
      <c r="B67" s="36" t="s">
        <v>268</v>
      </c>
      <c r="C67" s="26">
        <v>15</v>
      </c>
      <c r="D67" s="33">
        <f>VLOOKUP(A67,'Complementary (A &amp; B)'!$A$6:$C$100,3,)</f>
        <v>0</v>
      </c>
      <c r="E67" s="41" t="str">
        <f>VLOOKUP(A67,'Complementary (A &amp; B)'!$A$6:$D$100,4,)</f>
        <v/>
      </c>
    </row>
    <row r="68" spans="1:5" x14ac:dyDescent="0.3">
      <c r="A68" s="27">
        <v>12</v>
      </c>
      <c r="B68" s="36" t="s">
        <v>24</v>
      </c>
      <c r="C68" s="26"/>
      <c r="D68" s="33"/>
      <c r="E68" s="41"/>
    </row>
    <row r="69" spans="1:5" x14ac:dyDescent="0.3">
      <c r="A69" s="27">
        <v>12.1</v>
      </c>
      <c r="B69" s="36" t="s">
        <v>269</v>
      </c>
      <c r="C69" s="26">
        <v>10</v>
      </c>
      <c r="D69" s="33">
        <f>VLOOKUP(A69,'Complementary (A &amp; B)'!$A$6:$C$100,3,)</f>
        <v>0</v>
      </c>
      <c r="E69" s="41" t="str">
        <f>VLOOKUP(A69,'Complementary (A &amp; B)'!$A$6:$D$100,4,)</f>
        <v/>
      </c>
    </row>
    <row r="70" spans="1:5" x14ac:dyDescent="0.3">
      <c r="A70" s="27">
        <v>12.2</v>
      </c>
      <c r="B70" s="36" t="s">
        <v>305</v>
      </c>
      <c r="C70" s="26">
        <v>10</v>
      </c>
      <c r="D70" s="33">
        <f>VLOOKUP(A70,'Complementary (A &amp; B)'!$A$6:$C$100,3,)</f>
        <v>0</v>
      </c>
      <c r="E70" s="41" t="str">
        <f>VLOOKUP(A70,'Complementary (A &amp; B)'!$A$6:$D$100,4,)</f>
        <v/>
      </c>
    </row>
    <row r="71" spans="1:5" x14ac:dyDescent="0.3">
      <c r="A71" s="27">
        <v>13</v>
      </c>
      <c r="B71" s="36" t="s">
        <v>270</v>
      </c>
      <c r="C71" s="26">
        <v>10</v>
      </c>
      <c r="D71" s="33">
        <f>VLOOKUP(A71,'Complementary (A &amp; B)'!$A$6:$C$100,3,)</f>
        <v>0</v>
      </c>
      <c r="E71" s="41" t="str">
        <f>VLOOKUP(A71,'Complementary (A &amp; B)'!$A$6:$D$100,4,)</f>
        <v/>
      </c>
    </row>
    <row r="72" spans="1:5" x14ac:dyDescent="0.3">
      <c r="A72" s="27">
        <v>14</v>
      </c>
      <c r="B72" s="36" t="s">
        <v>271</v>
      </c>
      <c r="C72" s="26"/>
      <c r="D72" s="33"/>
      <c r="E72" s="41"/>
    </row>
    <row r="73" spans="1:5" x14ac:dyDescent="0.3">
      <c r="A73" s="27">
        <v>14.1</v>
      </c>
      <c r="B73" s="36" t="s">
        <v>272</v>
      </c>
      <c r="C73" s="26">
        <v>40</v>
      </c>
      <c r="D73" s="33">
        <f>VLOOKUP(A73,'Complementary (A &amp; B)'!$A$6:$C$100,3,)</f>
        <v>0</v>
      </c>
      <c r="E73" s="41" t="str">
        <f>VLOOKUP(A73,'Complementary (A &amp; B)'!$A$6:$D$100,4,)</f>
        <v/>
      </c>
    </row>
    <row r="74" spans="1:5" x14ac:dyDescent="0.3">
      <c r="A74" s="27">
        <v>14.2</v>
      </c>
      <c r="B74" s="36" t="s">
        <v>273</v>
      </c>
      <c r="C74" s="26">
        <v>10</v>
      </c>
      <c r="D74" s="33">
        <f>VLOOKUP(A74,'Complementary (A &amp; B)'!$A$6:$C$100,3,)</f>
        <v>0</v>
      </c>
      <c r="E74" s="41" t="str">
        <f>VLOOKUP(A74,'Complementary (A &amp; B)'!$A$6:$D$100,4,)</f>
        <v/>
      </c>
    </row>
    <row r="75" spans="1:5" x14ac:dyDescent="0.3">
      <c r="A75" s="27">
        <v>14.3</v>
      </c>
      <c r="B75" s="36" t="s">
        <v>274</v>
      </c>
      <c r="C75" s="26">
        <v>10</v>
      </c>
      <c r="D75" s="33">
        <f>VLOOKUP(A75,'Complementary (A &amp; B)'!$A$6:$C$100,3,)</f>
        <v>0</v>
      </c>
      <c r="E75" s="41" t="str">
        <f>VLOOKUP(A75,'Complementary (A &amp; B)'!$A$6:$D$100,4,)</f>
        <v/>
      </c>
    </row>
    <row r="76" spans="1:5" x14ac:dyDescent="0.3">
      <c r="A76" s="27">
        <v>14.4</v>
      </c>
      <c r="B76" s="36" t="s">
        <v>275</v>
      </c>
      <c r="C76" s="26">
        <v>15</v>
      </c>
      <c r="D76" s="33">
        <f>VLOOKUP(A76,'Complementary (A &amp; B)'!$A$6:$C$100,3,)</f>
        <v>0</v>
      </c>
      <c r="E76" s="41" t="str">
        <f>VLOOKUP(A76,'Complementary (A &amp; B)'!$A$6:$D$100,4,)</f>
        <v/>
      </c>
    </row>
    <row r="77" spans="1:5" x14ac:dyDescent="0.3">
      <c r="A77" s="27">
        <v>15</v>
      </c>
      <c r="B77" s="36" t="s">
        <v>276</v>
      </c>
      <c r="C77" s="26">
        <v>10</v>
      </c>
      <c r="D77" s="33">
        <f>VLOOKUP(A77,'Complementary (A &amp; B)'!$A$6:$C$100,3,)</f>
        <v>0</v>
      </c>
      <c r="E77" s="41" t="str">
        <f>VLOOKUP(A77,'Complementary (A &amp; B)'!$A$6:$D$100,4,)</f>
        <v/>
      </c>
    </row>
    <row r="78" spans="1:5" x14ac:dyDescent="0.3">
      <c r="A78" s="27">
        <v>16</v>
      </c>
      <c r="B78" s="36" t="s">
        <v>277</v>
      </c>
      <c r="C78" s="26">
        <v>10</v>
      </c>
      <c r="D78" s="33">
        <f>VLOOKUP(A78,'Complementary (A &amp; B)'!$A$6:$C$100,3,)</f>
        <v>0</v>
      </c>
      <c r="E78" s="41" t="str">
        <f>VLOOKUP(A78,'Complementary (A &amp; B)'!$A$6:$D$100,4,)</f>
        <v/>
      </c>
    </row>
    <row r="79" spans="1:5" x14ac:dyDescent="0.3">
      <c r="A79" s="27">
        <v>17</v>
      </c>
      <c r="B79" s="36" t="s">
        <v>278</v>
      </c>
      <c r="C79" s="26">
        <v>10</v>
      </c>
      <c r="D79" s="33">
        <f>VLOOKUP(A79,'Complementary (A &amp; B)'!$A$6:$C$100,3,)</f>
        <v>0</v>
      </c>
      <c r="E79" s="41" t="str">
        <f>VLOOKUP(A79,'Complementary (A &amp; B)'!$A$6:$D$100,4,)</f>
        <v/>
      </c>
    </row>
    <row r="80" spans="1:5" x14ac:dyDescent="0.3">
      <c r="A80" s="27">
        <v>18</v>
      </c>
      <c r="B80" s="36" t="s">
        <v>279</v>
      </c>
      <c r="C80" s="26">
        <v>10</v>
      </c>
      <c r="D80" s="33">
        <f>VLOOKUP(A80,'Complementary (A &amp; B)'!$A$6:$C$100,3,)</f>
        <v>0</v>
      </c>
      <c r="E80" s="41" t="str">
        <f>VLOOKUP(A80,'Complementary (A &amp; B)'!$A$6:$D$100,4,)</f>
        <v/>
      </c>
    </row>
    <row r="81" spans="1:5" x14ac:dyDescent="0.3">
      <c r="A81" s="27">
        <v>19</v>
      </c>
      <c r="B81" s="36" t="s">
        <v>25</v>
      </c>
      <c r="C81" s="26"/>
      <c r="D81" s="33"/>
      <c r="E81" s="41"/>
    </row>
    <row r="82" spans="1:5" x14ac:dyDescent="0.3">
      <c r="A82" s="27">
        <v>19.100000000000001</v>
      </c>
      <c r="B82" s="36" t="s">
        <v>280</v>
      </c>
      <c r="C82" s="26">
        <v>10</v>
      </c>
      <c r="D82" s="33">
        <f>VLOOKUP(A82,'Complementary (A &amp; B)'!$A$6:$C$100,3,)</f>
        <v>0</v>
      </c>
      <c r="E82" s="41" t="str">
        <f>VLOOKUP(A82,'Complementary (A &amp; B)'!$A$6:$D$100,4,)</f>
        <v/>
      </c>
    </row>
    <row r="83" spans="1:5" x14ac:dyDescent="0.3">
      <c r="A83" s="27">
        <v>19.2</v>
      </c>
      <c r="B83" s="36" t="s">
        <v>281</v>
      </c>
      <c r="C83" s="26">
        <v>15</v>
      </c>
      <c r="D83" s="33">
        <f>VLOOKUP(A83,'Complementary (A &amp; B)'!$A$6:$C$100,3,)</f>
        <v>0</v>
      </c>
      <c r="E83" s="41" t="str">
        <f>VLOOKUP(A83,'Complementary (A &amp; B)'!$A$6:$D$100,4,)</f>
        <v/>
      </c>
    </row>
    <row r="84" spans="1:5" x14ac:dyDescent="0.3">
      <c r="A84" s="27">
        <v>19.3</v>
      </c>
      <c r="B84" s="36" t="s">
        <v>282</v>
      </c>
      <c r="C84" s="26">
        <v>25</v>
      </c>
      <c r="D84" s="33">
        <f>VLOOKUP(A84,'Complementary (A &amp; B)'!$A$6:$C$100,3,)</f>
        <v>0</v>
      </c>
      <c r="E84" s="41" t="str">
        <f>VLOOKUP(A84,'Complementary (A &amp; B)'!$A$6:$D$100,4,)</f>
        <v/>
      </c>
    </row>
    <row r="85" spans="1:5" x14ac:dyDescent="0.3">
      <c r="A85" s="27">
        <v>19.399999999999999</v>
      </c>
      <c r="B85" s="36" t="s">
        <v>283</v>
      </c>
      <c r="C85" s="26">
        <v>20</v>
      </c>
      <c r="D85" s="33">
        <f>VLOOKUP(A85,'Complementary (A &amp; B)'!$A$6:$C$100,3,)</f>
        <v>0</v>
      </c>
      <c r="E85" s="41" t="str">
        <f>VLOOKUP(A85,'Complementary (A &amp; B)'!$A$6:$D$100,4,)</f>
        <v/>
      </c>
    </row>
    <row r="86" spans="1:5" x14ac:dyDescent="0.3">
      <c r="A86" s="27">
        <v>19.5</v>
      </c>
      <c r="B86" s="36" t="s">
        <v>284</v>
      </c>
      <c r="C86" s="26">
        <v>10</v>
      </c>
      <c r="D86" s="33">
        <f>VLOOKUP(A86,'Complementary (A &amp; B)'!$A$6:$C$100,3,)</f>
        <v>0</v>
      </c>
      <c r="E86" s="41" t="str">
        <f>VLOOKUP(A86,'Complementary (A &amp; B)'!$A$6:$D$100,4,)</f>
        <v/>
      </c>
    </row>
    <row r="87" spans="1:5" x14ac:dyDescent="0.3">
      <c r="A87" s="27">
        <v>19.600000000000001</v>
      </c>
      <c r="B87" s="36" t="s">
        <v>285</v>
      </c>
      <c r="C87" s="26">
        <v>10</v>
      </c>
      <c r="D87" s="33">
        <f>VLOOKUP(A87,'Complementary (A &amp; B)'!$A$6:$C$100,3,)</f>
        <v>0</v>
      </c>
      <c r="E87" s="41" t="str">
        <f>VLOOKUP(A87,'Complementary (A &amp; B)'!$A$6:$D$100,4,)</f>
        <v/>
      </c>
    </row>
    <row r="88" spans="1:5" x14ac:dyDescent="0.3">
      <c r="A88" s="27">
        <v>20</v>
      </c>
      <c r="B88" s="36" t="s">
        <v>286</v>
      </c>
      <c r="C88" s="26"/>
      <c r="D88" s="33"/>
      <c r="E88" s="41"/>
    </row>
    <row r="89" spans="1:5" x14ac:dyDescent="0.3">
      <c r="A89" s="27">
        <v>20.100000000000001</v>
      </c>
      <c r="B89" s="36" t="s">
        <v>287</v>
      </c>
      <c r="C89" s="26">
        <v>15</v>
      </c>
      <c r="D89" s="33">
        <f>VLOOKUP(A89,'Complementary (A &amp; B)'!$A$6:$C$100,3,)</f>
        <v>0</v>
      </c>
      <c r="E89" s="41" t="str">
        <f>VLOOKUP(A89,'Complementary (A &amp; B)'!$A$6:$D$100,4,)</f>
        <v/>
      </c>
    </row>
    <row r="90" spans="1:5" ht="36" x14ac:dyDescent="0.3">
      <c r="A90" s="27">
        <v>20.2</v>
      </c>
      <c r="B90" s="36" t="s">
        <v>288</v>
      </c>
      <c r="C90" s="26">
        <v>10</v>
      </c>
      <c r="D90" s="33">
        <f>VLOOKUP(A90,'Complementary (A &amp; B)'!$A$6:$C$100,3,)</f>
        <v>0</v>
      </c>
      <c r="E90" s="41" t="str">
        <f>VLOOKUP(A90,'Complementary (A &amp; B)'!$A$6:$D$100,4,)</f>
        <v/>
      </c>
    </row>
    <row r="91" spans="1:5" x14ac:dyDescent="0.3">
      <c r="A91" s="27">
        <v>20.3</v>
      </c>
      <c r="B91" s="36" t="s">
        <v>289</v>
      </c>
      <c r="C91" s="26">
        <v>30</v>
      </c>
      <c r="D91" s="33">
        <f>VLOOKUP(A91,'Complementary (A &amp; B)'!$A$6:$C$100,3,)</f>
        <v>0</v>
      </c>
      <c r="E91" s="41" t="str">
        <f>VLOOKUP(A91,'Complementary (A &amp; B)'!$A$6:$D$100,4,)</f>
        <v/>
      </c>
    </row>
    <row r="92" spans="1:5" x14ac:dyDescent="0.3">
      <c r="A92" s="27">
        <v>20.399999999999999</v>
      </c>
      <c r="B92" s="36" t="s">
        <v>290</v>
      </c>
      <c r="C92" s="26">
        <v>15</v>
      </c>
      <c r="D92" s="33">
        <f>VLOOKUP(A92,'Complementary (A &amp; B)'!$A$6:$C$100,3,)</f>
        <v>0</v>
      </c>
      <c r="E92" s="41" t="str">
        <f>VLOOKUP(A92,'Complementary (A &amp; B)'!$A$6:$D$100,4,)</f>
        <v/>
      </c>
    </row>
    <row r="93" spans="1:5" x14ac:dyDescent="0.3">
      <c r="A93" s="27">
        <v>20.5</v>
      </c>
      <c r="B93" s="36" t="s">
        <v>291</v>
      </c>
      <c r="C93" s="26">
        <v>20</v>
      </c>
      <c r="D93" s="33">
        <f>VLOOKUP(A93,'Complementary (A &amp; B)'!$A$6:$C$100,3,)</f>
        <v>0</v>
      </c>
      <c r="E93" s="41" t="str">
        <f>VLOOKUP(A93,'Complementary (A &amp; B)'!$A$6:$D$100,4,)</f>
        <v/>
      </c>
    </row>
    <row r="94" spans="1:5" x14ac:dyDescent="0.3">
      <c r="A94" s="27">
        <v>20.6</v>
      </c>
      <c r="B94" s="36" t="s">
        <v>292</v>
      </c>
      <c r="C94" s="26">
        <v>10</v>
      </c>
      <c r="D94" s="33">
        <f>VLOOKUP(A94,'Complementary (A &amp; B)'!$A$6:$C$100,3,)</f>
        <v>0</v>
      </c>
      <c r="E94" s="41" t="str">
        <f>VLOOKUP(A94,'Complementary (A &amp; B)'!$A$6:$D$100,4,)</f>
        <v/>
      </c>
    </row>
    <row r="95" spans="1:5" ht="36" x14ac:dyDescent="0.3">
      <c r="A95" s="27">
        <v>20.7</v>
      </c>
      <c r="B95" s="36" t="s">
        <v>293</v>
      </c>
      <c r="C95" s="26">
        <v>10</v>
      </c>
      <c r="D95" s="33">
        <f>VLOOKUP(A95,'Complementary (A &amp; B)'!$A$6:$C$100,3,)</f>
        <v>0</v>
      </c>
      <c r="E95" s="41" t="str">
        <f>VLOOKUP(A95,'Complementary (A &amp; B)'!$A$6:$D$100,4,)</f>
        <v/>
      </c>
    </row>
    <row r="96" spans="1:5" x14ac:dyDescent="0.3">
      <c r="A96" s="27">
        <v>20.8</v>
      </c>
      <c r="B96" s="36" t="s">
        <v>294</v>
      </c>
      <c r="C96" s="26">
        <v>20</v>
      </c>
      <c r="D96" s="33" t="s">
        <v>387</v>
      </c>
      <c r="E96" s="41" t="str">
        <f>VLOOKUP(A96,'Complementary (A &amp; B)'!$A$6:$D$100,4,)</f>
        <v/>
      </c>
    </row>
    <row r="97" spans="1:5" ht="54" x14ac:dyDescent="0.3">
      <c r="A97" s="27">
        <v>20.9</v>
      </c>
      <c r="B97" s="36" t="s">
        <v>295</v>
      </c>
      <c r="C97" s="26">
        <v>10</v>
      </c>
      <c r="D97" s="33" t="s">
        <v>387</v>
      </c>
      <c r="E97" s="41" t="str">
        <f>VLOOKUP(A97,'Complementary (A &amp; B)'!$A$6:$D$100,4,)</f>
        <v/>
      </c>
    </row>
    <row r="98" spans="1:5" x14ac:dyDescent="0.3">
      <c r="A98" s="27">
        <v>21</v>
      </c>
      <c r="B98" s="36" t="s">
        <v>26</v>
      </c>
      <c r="C98" s="26"/>
      <c r="D98" s="33"/>
      <c r="E98" s="41"/>
    </row>
    <row r="99" spans="1:5" x14ac:dyDescent="0.3">
      <c r="A99" s="27">
        <v>21.1</v>
      </c>
      <c r="B99" s="36" t="s">
        <v>296</v>
      </c>
      <c r="C99" s="26">
        <v>10</v>
      </c>
      <c r="D99" s="33">
        <f>VLOOKUP(A99,'Complementary (A &amp; B)'!$A$6:$C$100,3,)</f>
        <v>0</v>
      </c>
      <c r="E99" s="41" t="str">
        <f>VLOOKUP(A99,'Complementary (A &amp; B)'!$A$6:$D$100,4,)</f>
        <v/>
      </c>
    </row>
    <row r="100" spans="1:5" x14ac:dyDescent="0.3">
      <c r="A100" s="27">
        <v>21.2</v>
      </c>
      <c r="B100" s="36" t="s">
        <v>297</v>
      </c>
      <c r="C100" s="26">
        <v>20</v>
      </c>
      <c r="D100" s="33">
        <f>VLOOKUP(A100,'Complementary (A &amp; B)'!$A$6:$C$100,3,)</f>
        <v>0</v>
      </c>
      <c r="E100" s="41" t="str">
        <f>VLOOKUP(A100,'Complementary (A &amp; B)'!$A$6:$D$100,4,)</f>
        <v/>
      </c>
    </row>
    <row r="101" spans="1:5" x14ac:dyDescent="0.3">
      <c r="A101" s="27">
        <v>22</v>
      </c>
      <c r="B101" s="36" t="s">
        <v>298</v>
      </c>
      <c r="C101" s="26">
        <v>20</v>
      </c>
      <c r="D101" s="33" t="s">
        <v>387</v>
      </c>
      <c r="E101" s="41" t="str">
        <f>VLOOKUP(A101,'Complementary (A &amp; B)'!$A$6:$D$100,4,)</f>
        <v/>
      </c>
    </row>
    <row r="102" spans="1:5" ht="18.600000000000001" thickBot="1" x14ac:dyDescent="0.35">
      <c r="A102" s="29"/>
      <c r="B102" s="38"/>
      <c r="C102" s="42"/>
      <c r="D102" s="42"/>
      <c r="E102" s="43"/>
    </row>
    <row r="103" spans="1:5" ht="22.95" customHeight="1" x14ac:dyDescent="0.3">
      <c r="A103" s="29"/>
      <c r="B103" s="110" t="s">
        <v>313</v>
      </c>
      <c r="C103" s="111" t="s">
        <v>27</v>
      </c>
      <c r="D103" s="112" t="s">
        <v>312</v>
      </c>
      <c r="E103" s="113" t="s">
        <v>171</v>
      </c>
    </row>
    <row r="104" spans="1:5" x14ac:dyDescent="0.3">
      <c r="A104" s="29"/>
      <c r="B104" s="62" t="s">
        <v>355</v>
      </c>
      <c r="C104" s="53" t="str">
        <f>IF(SUBTOTAL(9,D6:D60)=0,"",(SUBTOTAL(9,D6:D60)))</f>
        <v/>
      </c>
      <c r="D104" s="53" t="str">
        <f>IF(C104="","",(C104/760))</f>
        <v/>
      </c>
      <c r="E104" s="63" t="str">
        <f>IF(C104="","",(IF(OR((SUBTOTAL(9,D12:D24)/250)&lt;0.5,(SUBTOTAL(9,D36:D60)/360)&lt;0.5),"Unqualified",(IF(D104&lt;50%,"Unqualified","Qualified")))))</f>
        <v/>
      </c>
    </row>
    <row r="105" spans="1:5" x14ac:dyDescent="0.3">
      <c r="A105" s="29"/>
      <c r="B105" s="62" t="s">
        <v>350</v>
      </c>
      <c r="C105" s="53" t="str">
        <f>IF(SUBTOTAL(9,D62:D101)=0,"",(SUBTOTAL(9,D62:D101)))</f>
        <v/>
      </c>
      <c r="D105" s="53" t="str">
        <f>IF(C105="","",(C105/490))</f>
        <v/>
      </c>
      <c r="E105" s="63" t="str">
        <f>IF(C105="","",(IF(D105&lt;50%,"Unqualified","Qualified")))</f>
        <v/>
      </c>
    </row>
    <row r="106" spans="1:5" ht="23.4" customHeight="1" thickBot="1" x14ac:dyDescent="0.35">
      <c r="A106" s="29"/>
      <c r="B106" s="114" t="s">
        <v>349</v>
      </c>
      <c r="C106" s="115" t="str">
        <f>IF(OR(C104="",C105=""),"",(C104+C105))</f>
        <v/>
      </c>
      <c r="D106" s="115" t="str">
        <f>IF(C106="","",(C106/1250))</f>
        <v/>
      </c>
      <c r="E106" s="116" t="str">
        <f>IF(C106="","",IF(AND(E104="Qualified",E105="Qualified"),"Qualified","Unqualified"))</f>
        <v/>
      </c>
    </row>
    <row r="107" spans="1:5" x14ac:dyDescent="0.35">
      <c r="A107" s="29"/>
      <c r="B107" s="37"/>
      <c r="C107" s="44"/>
      <c r="D107" s="44"/>
      <c r="E107" s="45"/>
    </row>
    <row r="108" spans="1:5" x14ac:dyDescent="0.35">
      <c r="A108" s="29"/>
      <c r="B108" s="37"/>
      <c r="C108" s="44"/>
      <c r="D108" s="44"/>
      <c r="E108" s="45"/>
    </row>
    <row r="109" spans="1:5" x14ac:dyDescent="0.35">
      <c r="A109" s="29"/>
      <c r="B109" s="30"/>
      <c r="C109" s="46"/>
      <c r="D109" s="44"/>
      <c r="E109" s="45"/>
    </row>
  </sheetData>
  <mergeCells count="4">
    <mergeCell ref="E1:E3"/>
    <mergeCell ref="A5:B5"/>
    <mergeCell ref="A61:B61"/>
    <mergeCell ref="A1:D3"/>
  </mergeCells>
  <pageMargins left="0.7" right="0.7" top="0.75" bottom="0.75" header="0.3" footer="0.3"/>
  <pageSetup paperSize="9" scale="51" fitToHeight="100" orientation="landscape" r:id="rId1"/>
  <rowBreaks count="5" manualBreakCount="5">
    <brk id="9" max="4" man="1"/>
    <brk id="24" max="4" man="1"/>
    <brk id="44" max="4" man="1"/>
    <brk id="54" max="4" man="1"/>
    <brk id="6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2"/>
  <sheetViews>
    <sheetView view="pageBreakPreview" zoomScale="70" zoomScaleNormal="70" zoomScaleSheetLayoutView="70" workbookViewId="0">
      <selection activeCell="G7" sqref="G7"/>
    </sheetView>
  </sheetViews>
  <sheetFormatPr defaultColWidth="46.44140625" defaultRowHeight="14.4" x14ac:dyDescent="0.3"/>
  <cols>
    <col min="1" max="1" width="4.5546875" customWidth="1"/>
    <col min="2" max="2" width="66.33203125" customWidth="1"/>
    <col min="3" max="3" width="12.6640625" customWidth="1"/>
    <col min="4" max="4" width="17.33203125" customWidth="1"/>
    <col min="5" max="5" width="27.33203125" customWidth="1"/>
    <col min="6" max="6" width="5" customWidth="1"/>
  </cols>
  <sheetData>
    <row r="1" spans="2:6" ht="15" thickBot="1" x14ac:dyDescent="0.35"/>
    <row r="2" spans="2:6" ht="36.6" customHeight="1" thickBot="1" x14ac:dyDescent="0.35">
      <c r="B2" s="225" t="s">
        <v>378</v>
      </c>
      <c r="C2" s="226"/>
      <c r="D2" s="226"/>
      <c r="E2" s="227"/>
    </row>
    <row r="3" spans="2:6" ht="18" thickBot="1" x14ac:dyDescent="0.35">
      <c r="B3" s="222" t="s">
        <v>383</v>
      </c>
      <c r="C3" s="223"/>
      <c r="D3" s="223"/>
      <c r="E3" s="224"/>
    </row>
    <row r="4" spans="2:6" ht="17.399999999999999" x14ac:dyDescent="0.3">
      <c r="B4" s="117" t="s">
        <v>313</v>
      </c>
      <c r="C4" s="118" t="s">
        <v>27</v>
      </c>
      <c r="D4" s="118" t="s">
        <v>312</v>
      </c>
      <c r="E4" s="119" t="s">
        <v>39</v>
      </c>
    </row>
    <row r="5" spans="2:6" ht="17.399999999999999" x14ac:dyDescent="0.3">
      <c r="B5" s="62" t="str">
        <f>"TOTAL  SCORE  OF  SECTION  M    OUT  OF  "&amp;('Mandatory M'!C47)&amp;" 3500 ="</f>
        <v>TOTAL  SCORE  OF  SECTION  M    OUT  OF   3500 =</v>
      </c>
      <c r="C5" s="59" t="str">
        <f>'Mandatory M'!D47</f>
        <v/>
      </c>
      <c r="D5" s="58" t="str">
        <f>'Mandatory M'!E47</f>
        <v/>
      </c>
      <c r="E5" s="63" t="str">
        <f>IF('Mandatory M'!F47="","",'Mandatory M'!F47)</f>
        <v/>
      </c>
    </row>
    <row r="6" spans="2:6" ht="17.399999999999999" x14ac:dyDescent="0.3">
      <c r="B6" s="62" t="s">
        <v>355</v>
      </c>
      <c r="C6" s="53" t="str">
        <f>IF(SUBTOTAL(9,'Summary Section A &amp; B'!D6:D60)=0,"",(SUBTOTAL(9,'Summary Section A &amp; B'!D6:D60)))</f>
        <v/>
      </c>
      <c r="D6" s="54" t="str">
        <f>IF(C6="","",('Summary Section A &amp; B'!C104/760))</f>
        <v/>
      </c>
      <c r="E6" s="63" t="str">
        <f>IF(C6="","",(IF(OR((SUBTOTAL(9,'Summary Section A &amp; B'!D12:D24)/250)&lt;0.5,(SUBTOTAL(9,'Summary Section A &amp; B'!D36:D60)/360)&lt;0.5),"Unqualified",(IF('Summary Section A &amp; B'!D104&lt;50%,"Unqualified","Qualified")))))</f>
        <v/>
      </c>
      <c r="F6" s="60"/>
    </row>
    <row r="7" spans="2:6" ht="17.399999999999999" x14ac:dyDescent="0.3">
      <c r="B7" s="62" t="s">
        <v>350</v>
      </c>
      <c r="C7" s="53" t="str">
        <f>IF(SUBTOTAL(9,'Summary Section A &amp; B'!D62:D101)=0,"",(SUBTOTAL(9,'Summary Section A &amp; B'!D62:D101)))</f>
        <v/>
      </c>
      <c r="D7" s="54" t="str">
        <f>IF(C7="","",('Summary Section A &amp; B'!C105/490))</f>
        <v/>
      </c>
      <c r="E7" s="63" t="str">
        <f>IF(C7="","",(IF('Summary Section A &amp; B'!D105&lt;50%,"Unqualified","Qualified")))</f>
        <v/>
      </c>
    </row>
    <row r="8" spans="2:6" ht="17.399999999999999" x14ac:dyDescent="0.3">
      <c r="B8" s="62" t="s">
        <v>356</v>
      </c>
      <c r="C8" s="53" t="str">
        <f>IF('Curriculum (Core) C-1'!J12=0,"",('Curriculum (Core) C-1'!J12))</f>
        <v/>
      </c>
      <c r="D8" s="54" t="str">
        <f>IF(C8="","",(C8/142))</f>
        <v/>
      </c>
      <c r="E8" s="63" t="str">
        <f>IF('Curriculum (Core) C-1'!K12="","",(IF('Curriculum (Core) C-1'!K12="Satisfactory","Qualified","Unqualified")))</f>
        <v/>
      </c>
    </row>
    <row r="9" spans="2:6" ht="18" thickBot="1" x14ac:dyDescent="0.35">
      <c r="B9" s="120" t="s">
        <v>357</v>
      </c>
      <c r="C9" s="121" t="str">
        <f>IF('Curriculum(Optional,Elective)C2'!D29=0,"",('Curriculum(Optional,Elective)C2'!D29))</f>
        <v/>
      </c>
      <c r="D9" s="122" t="str">
        <f>IF(C9="","",(C9/38))</f>
        <v/>
      </c>
      <c r="E9" s="123" t="str">
        <f>IF('Curriculum(Optional,Elective)C2'!E29="","",IF('Curriculum(Optional,Elective)C2'!E29="Satisfactory","Qualified","Unqualified"))</f>
        <v/>
      </c>
    </row>
    <row r="10" spans="2:6" ht="18" thickBot="1" x14ac:dyDescent="0.35">
      <c r="B10" s="124" t="s">
        <v>358</v>
      </c>
      <c r="C10" s="219" t="str">
        <f>IF(AND(C5="",C6="",C7="",C8="",C9=""),"",(IF(AND(COUNTIF(E5:E9,"Qualified")&gt;=0,COUNTIF(E5:E9,"Qualified")&lt;3), "Unqualified", IF(AND(COUNTIF(E5:E9,"Qualified")&gt;=3,COUNTIF(E5:E9,"Qualified")&lt;=4), "Partially Qualified", IF(AND(COUNTIF(E5:E9,"Qualified")&gt;=5,COUNTIF(E5:E9,"Qualified")&lt;=5.1), "Fully Qualified",IF(COUNTIF(E5:E9,"Qualified")&gt;=6,"Error",""))))))</f>
        <v/>
      </c>
      <c r="D10" s="220"/>
      <c r="E10" s="221"/>
    </row>
    <row r="11" spans="2:6" ht="18" x14ac:dyDescent="0.35">
      <c r="B11" s="37"/>
      <c r="C11" s="44"/>
      <c r="D11" s="45"/>
      <c r="E11" s="45"/>
    </row>
    <row r="12" spans="2:6" ht="18" x14ac:dyDescent="0.35">
      <c r="B12" s="30" t="s">
        <v>379</v>
      </c>
      <c r="C12" s="46"/>
      <c r="D12" s="45"/>
      <c r="E12" s="45"/>
    </row>
  </sheetData>
  <mergeCells count="3">
    <mergeCell ref="C10:E10"/>
    <mergeCell ref="B3:E3"/>
    <mergeCell ref="B2:E2"/>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Mandatory M</vt:lpstr>
      <vt:lpstr>Complementary (A &amp; B)</vt:lpstr>
      <vt:lpstr>Curriculum (Core) C-1</vt:lpstr>
      <vt:lpstr>Curriculum(Optional,Elective)C2</vt:lpstr>
      <vt:lpstr>Summary Section A &amp; B</vt:lpstr>
      <vt:lpstr>Results</vt:lpstr>
      <vt:lpstr>'Complementary (A &amp; B)'!Print_Area</vt:lpstr>
      <vt:lpstr>Results!Print_Area</vt:lpstr>
      <vt:lpstr>'Summary Section A &amp; 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Shariq Abdali</dc:creator>
  <cp:lastModifiedBy>Registrar</cp:lastModifiedBy>
  <cp:lastPrinted>2015-04-13T12:23:28Z</cp:lastPrinted>
  <dcterms:created xsi:type="dcterms:W3CDTF">2015-04-04T14:29:35Z</dcterms:created>
  <dcterms:modified xsi:type="dcterms:W3CDTF">2020-10-06T05:19:18Z</dcterms:modified>
</cp:coreProperties>
</file>